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150" windowWidth="11805" windowHeight="10875" tabRatio="885" firstSheet="12"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 name="Sheet2" sheetId="65" r:id="rId39"/>
  </sheets>
  <externalReferences>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C13" i="4" l="1"/>
  <c r="C12" i="4"/>
  <c r="I48" i="34" l="1"/>
  <c r="E48" i="34"/>
  <c r="I34" i="34"/>
  <c r="E34" i="34"/>
  <c r="I5" i="34"/>
  <c r="E5" i="34"/>
  <c r="C149" i="65"/>
  <c r="H5" i="64" l="1"/>
  <c r="H4" i="64"/>
  <c r="G5" i="64"/>
  <c r="D6" i="31"/>
  <c r="E6" i="31"/>
  <c r="F6" i="31"/>
  <c r="G6" i="31"/>
  <c r="H6" i="31"/>
  <c r="D7" i="31"/>
  <c r="E7" i="31"/>
  <c r="F7" i="31"/>
  <c r="G7" i="31"/>
  <c r="H7" i="31"/>
  <c r="C7" i="31"/>
  <c r="C6" i="31"/>
  <c r="I27" i="34"/>
  <c r="G27" i="34"/>
  <c r="E27" i="34"/>
  <c r="G48" i="34"/>
  <c r="G34" i="34"/>
  <c r="G5" i="34"/>
  <c r="C147" i="65"/>
  <c r="C146" i="65"/>
  <c r="B28" i="31"/>
  <c r="A28" i="31"/>
  <c r="A27" i="31"/>
  <c r="E20" i="1"/>
  <c r="H20" i="1"/>
  <c r="C15" i="4"/>
  <c r="D5" i="64"/>
  <c r="E4" i="64"/>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s="1"/>
  <c r="E87" i="59" s="1"/>
  <c r="C89" i="59"/>
  <c r="D89" i="59"/>
  <c r="B89" i="59"/>
  <c r="F88" i="59"/>
  <c r="F87" i="59" s="1"/>
  <c r="B88" i="59"/>
  <c r="B87" i="59" s="1"/>
  <c r="D86" i="59"/>
  <c r="F85" i="59"/>
  <c r="E85" i="59"/>
  <c r="E84" i="59" s="1"/>
  <c r="E83" i="59"/>
  <c r="C85" i="59"/>
  <c r="D85" i="59"/>
  <c r="B85" i="59"/>
  <c r="F84" i="59"/>
  <c r="F83" i="59" s="1"/>
  <c r="B84" i="59"/>
  <c r="B83" i="59" s="1"/>
  <c r="D82" i="59"/>
  <c r="Q81" i="59"/>
  <c r="P81" i="59"/>
  <c r="O81" i="59"/>
  <c r="N81" i="59"/>
  <c r="F81" i="59"/>
  <c r="V81" i="59" s="1"/>
  <c r="E81" i="59"/>
  <c r="U81" i="59" s="1"/>
  <c r="C81" i="59"/>
  <c r="T81" i="59"/>
  <c r="B81" i="59"/>
  <c r="S81" i="59" s="1"/>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AA40" i="59" s="1"/>
  <c r="O40" i="59"/>
  <c r="Y40" i="59" s="1"/>
  <c r="Z40" i="59" s="1"/>
  <c r="N40" i="59"/>
  <c r="X40" i="59"/>
  <c r="Q39" i="59"/>
  <c r="AB39" i="59" s="1"/>
  <c r="P39" i="59"/>
  <c r="O39" i="59"/>
  <c r="Y39" i="59" s="1"/>
  <c r="Z39" i="59" s="1"/>
  <c r="N39" i="59"/>
  <c r="X39" i="59" s="1"/>
  <c r="Q38" i="59"/>
  <c r="AB38" i="59" s="1"/>
  <c r="P38" i="59"/>
  <c r="E39" i="59"/>
  <c r="E40" i="59" s="1"/>
  <c r="E41" i="59" s="1"/>
  <c r="O38" i="59"/>
  <c r="N38" i="59"/>
  <c r="D38" i="59"/>
  <c r="Q37" i="59"/>
  <c r="P37" i="59"/>
  <c r="O37" i="59"/>
  <c r="N37" i="59"/>
  <c r="Q36" i="59"/>
  <c r="P36" i="59"/>
  <c r="O36" i="59"/>
  <c r="N36" i="59"/>
  <c r="Q35" i="59"/>
  <c r="P35" i="59"/>
  <c r="O35" i="59"/>
  <c r="N35" i="59"/>
  <c r="Q34" i="59"/>
  <c r="P34" i="59"/>
  <c r="AA34" i="59" s="1"/>
  <c r="E35" i="59"/>
  <c r="E36" i="59" s="1"/>
  <c r="E37" i="59"/>
  <c r="U37" i="59" s="1"/>
  <c r="O34" i="59"/>
  <c r="Y34" i="59" s="1"/>
  <c r="Z34" i="59" s="1"/>
  <c r="N34" i="59"/>
  <c r="X34" i="59" s="1"/>
  <c r="D34" i="59"/>
  <c r="Q33" i="59"/>
  <c r="AB33" i="59" s="1"/>
  <c r="P33" i="59"/>
  <c r="AA33" i="59" s="1"/>
  <c r="O33" i="59"/>
  <c r="Y33" i="59" s="1"/>
  <c r="Z33" i="59" s="1"/>
  <c r="N33" i="59"/>
  <c r="Q32" i="59"/>
  <c r="AB32" i="59" s="1"/>
  <c r="P32" i="59"/>
  <c r="AA32" i="59" s="1"/>
  <c r="O32" i="59"/>
  <c r="Y32" i="59" s="1"/>
  <c r="Z32" i="59" s="1"/>
  <c r="N32" i="59"/>
  <c r="X32" i="59" s="1"/>
  <c r="Q31" i="59"/>
  <c r="AB31" i="59" s="1"/>
  <c r="P31" i="59"/>
  <c r="AA31" i="59" s="1"/>
  <c r="O31" i="59"/>
  <c r="Y31" i="59" s="1"/>
  <c r="Z31" i="59" s="1"/>
  <c r="N31" i="59"/>
  <c r="X31" i="59" s="1"/>
  <c r="Q30" i="59"/>
  <c r="AB30" i="59" s="1"/>
  <c r="P30" i="59"/>
  <c r="AA30" i="59" s="1"/>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B27" i="59" s="1"/>
  <c r="X28" i="59"/>
  <c r="X27" i="59"/>
  <c r="C44" i="59"/>
  <c r="D43" i="59"/>
  <c r="C48" i="59"/>
  <c r="D48" i="59"/>
  <c r="D47" i="59"/>
  <c r="C52" i="59"/>
  <c r="D51" i="59"/>
  <c r="P29" i="59"/>
  <c r="AA27" i="59" s="1"/>
  <c r="E56" i="59"/>
  <c r="E57" i="59"/>
  <c r="U57" i="59" s="1"/>
  <c r="E60" i="59"/>
  <c r="E61" i="59" s="1"/>
  <c r="U61" i="59" s="1"/>
  <c r="E64" i="59"/>
  <c r="E65" i="59"/>
  <c r="U65" i="59" s="1"/>
  <c r="Q66" i="59"/>
  <c r="P67" i="59"/>
  <c r="U73" i="59"/>
  <c r="E72" i="59"/>
  <c r="E71" i="59"/>
  <c r="Q29" i="59"/>
  <c r="C56" i="59"/>
  <c r="D56" i="59" s="1"/>
  <c r="D55" i="59"/>
  <c r="C60" i="59"/>
  <c r="D60" i="59" s="1"/>
  <c r="D59" i="59"/>
  <c r="C64" i="59"/>
  <c r="D64" i="59" s="1"/>
  <c r="D63" i="59"/>
  <c r="N68" i="59"/>
  <c r="B67" i="59"/>
  <c r="Q68" i="59"/>
  <c r="T69" i="59"/>
  <c r="O69" i="59"/>
  <c r="D69" i="59"/>
  <c r="C68" i="59"/>
  <c r="C67" i="59" s="1"/>
  <c r="T73" i="59"/>
  <c r="D73" i="59"/>
  <c r="C72" i="59"/>
  <c r="Q69" i="59"/>
  <c r="C76" i="59"/>
  <c r="E76" i="59"/>
  <c r="E75" i="59" s="1"/>
  <c r="D77" i="59"/>
  <c r="C80" i="59"/>
  <c r="E80" i="59"/>
  <c r="E79" i="59" s="1"/>
  <c r="D81" i="59"/>
  <c r="C84" i="59"/>
  <c r="C88" i="59"/>
  <c r="D88" i="59" s="1"/>
  <c r="F29" i="59"/>
  <c r="AB3" i="59"/>
  <c r="AB26" i="59"/>
  <c r="AB27" i="59"/>
  <c r="AB28" i="59"/>
  <c r="AB29" i="59"/>
  <c r="E29" i="59"/>
  <c r="E28" i="59" s="1"/>
  <c r="E27" i="59" s="1"/>
  <c r="AA28" i="59"/>
  <c r="AA3" i="59"/>
  <c r="C28" i="59"/>
  <c r="C27" i="59" s="1"/>
  <c r="D27" i="59" s="1"/>
  <c r="D29" i="59"/>
  <c r="D84" i="59"/>
  <c r="C83" i="59"/>
  <c r="D83" i="59"/>
  <c r="D76" i="59"/>
  <c r="C75" i="59"/>
  <c r="D75" i="59" s="1"/>
  <c r="C71" i="59"/>
  <c r="D71" i="59" s="1"/>
  <c r="D72" i="59"/>
  <c r="C53" i="59"/>
  <c r="D52" i="59"/>
  <c r="C87" i="59"/>
  <c r="D87" i="59" s="1"/>
  <c r="D80" i="59"/>
  <c r="C79" i="59"/>
  <c r="D79" i="59"/>
  <c r="O68" i="59"/>
  <c r="C65" i="59"/>
  <c r="D65" i="59" s="1"/>
  <c r="C61" i="59"/>
  <c r="D61" i="59" s="1"/>
  <c r="C57" i="59"/>
  <c r="D57" i="59" s="1"/>
  <c r="N66" i="59"/>
  <c r="N67" i="59"/>
  <c r="C45" i="59"/>
  <c r="D45" i="59" s="1"/>
  <c r="D44" i="59"/>
  <c r="D28" i="59"/>
  <c r="F28" i="59"/>
  <c r="F27" i="59" s="1"/>
  <c r="V29" i="59"/>
  <c r="T53" i="59"/>
  <c r="D53" i="59"/>
  <c r="T45" i="59"/>
  <c r="T57" i="59"/>
  <c r="T61" i="59"/>
  <c r="T65" i="59"/>
  <c r="Q25" i="40"/>
  <c r="Z25" i="40" s="1"/>
  <c r="D93" i="40"/>
  <c r="E93" i="40" s="1"/>
  <c r="F93" i="40" s="1"/>
  <c r="G93" i="40" s="1"/>
  <c r="H25" i="40"/>
  <c r="U25" i="40" s="1"/>
  <c r="F25" i="40"/>
  <c r="AA25" i="40" s="1"/>
  <c r="Q27" i="39"/>
  <c r="Z27" i="39" s="1"/>
  <c r="D100" i="39"/>
  <c r="E100" i="39" s="1"/>
  <c r="F100" i="39" s="1"/>
  <c r="G100"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75"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S36" i="31" s="1"/>
  <c r="R37" i="31"/>
  <c r="R38" i="31"/>
  <c r="S38" i="31" s="1"/>
  <c r="R39" i="31"/>
  <c r="T39" i="31" s="1"/>
  <c r="R40" i="31"/>
  <c r="S40" i="31" s="1"/>
  <c r="R41" i="31"/>
  <c r="R42" i="31"/>
  <c r="S42" i="31" s="1"/>
  <c r="R43" i="31"/>
  <c r="T43" i="31" s="1"/>
  <c r="R44" i="31"/>
  <c r="S44" i="31" s="1"/>
  <c r="R45" i="31"/>
  <c r="R46" i="31"/>
  <c r="S46" i="31" s="1"/>
  <c r="R47" i="31"/>
  <c r="T47" i="31" s="1"/>
  <c r="R48" i="31"/>
  <c r="S48" i="31" s="1"/>
  <c r="R49" i="31"/>
  <c r="R50" i="31"/>
  <c r="S50" i="31" s="1"/>
  <c r="R51" i="31"/>
  <c r="T51" i="31" s="1"/>
  <c r="R52" i="31"/>
  <c r="S52" i="31" s="1"/>
  <c r="R53" i="31"/>
  <c r="R54" i="31"/>
  <c r="S54" i="31" s="1"/>
  <c r="R55" i="31"/>
  <c r="T55" i="31" s="1"/>
  <c r="R56" i="31"/>
  <c r="S56" i="31" s="1"/>
  <c r="R57" i="31"/>
  <c r="R58" i="31"/>
  <c r="R59" i="31"/>
  <c r="R60" i="31"/>
  <c r="T60" i="31" s="1"/>
  <c r="R61" i="31"/>
  <c r="R62" i="31"/>
  <c r="R63" i="31"/>
  <c r="R64" i="31"/>
  <c r="T64" i="31" s="1"/>
  <c r="R65" i="31"/>
  <c r="R66" i="31"/>
  <c r="R67" i="31"/>
  <c r="R68" i="31"/>
  <c r="T68" i="31" s="1"/>
  <c r="R69" i="31"/>
  <c r="R70" i="31"/>
  <c r="R71" i="31"/>
  <c r="R72" i="31"/>
  <c r="T72" i="31" s="1"/>
  <c r="R73" i="31"/>
  <c r="R74" i="31"/>
  <c r="R75" i="31"/>
  <c r="R76" i="31"/>
  <c r="S76" i="31" s="1"/>
  <c r="R77" i="31"/>
  <c r="T77" i="31" s="1"/>
  <c r="R78" i="31"/>
  <c r="S78" i="31" s="1"/>
  <c r="R79" i="31"/>
  <c r="R80" i="31"/>
  <c r="S80" i="31" s="1"/>
  <c r="R81" i="31"/>
  <c r="T81" i="31" s="1"/>
  <c r="R82" i="31"/>
  <c r="R83" i="31"/>
  <c r="T83" i="31" s="1"/>
  <c r="R84" i="31"/>
  <c r="T84" i="31" s="1"/>
  <c r="R85" i="31"/>
  <c r="T85" i="31" s="1"/>
  <c r="R86" i="31"/>
  <c r="R87" i="31"/>
  <c r="T87" i="31" s="1"/>
  <c r="R88" i="31"/>
  <c r="T88" i="31" s="1"/>
  <c r="R89" i="31"/>
  <c r="T89" i="31" s="1"/>
  <c r="R90" i="31"/>
  <c r="R91" i="31"/>
  <c r="T91" i="31" s="1"/>
  <c r="R92" i="31"/>
  <c r="T92" i="31" s="1"/>
  <c r="R93" i="31"/>
  <c r="T93" i="31" s="1"/>
  <c r="R94" i="31"/>
  <c r="R95" i="31"/>
  <c r="T95" i="31" s="1"/>
  <c r="R96" i="31"/>
  <c r="T96" i="31" s="1"/>
  <c r="R97" i="31"/>
  <c r="T97" i="31" s="1"/>
  <c r="R98" i="31"/>
  <c r="R99" i="31"/>
  <c r="T99" i="31" s="1"/>
  <c r="R100" i="31"/>
  <c r="T100" i="31" s="1"/>
  <c r="R101" i="31"/>
  <c r="T101" i="31" s="1"/>
  <c r="R102" i="31"/>
  <c r="T102" i="31" s="1"/>
  <c r="R103" i="31"/>
  <c r="T103" i="31" s="1"/>
  <c r="R104" i="31"/>
  <c r="R105" i="31"/>
  <c r="T105" i="31" s="1"/>
  <c r="R106" i="31"/>
  <c r="T106" i="31" s="1"/>
  <c r="R107" i="31"/>
  <c r="T107" i="31" s="1"/>
  <c r="R108" i="31"/>
  <c r="R109" i="31"/>
  <c r="T109" i="31" s="1"/>
  <c r="R110" i="31"/>
  <c r="T110" i="31" s="1"/>
  <c r="R111" i="31"/>
  <c r="T111" i="31" s="1"/>
  <c r="R112" i="31"/>
  <c r="R113" i="31"/>
  <c r="T113" i="31" s="1"/>
  <c r="R114" i="31"/>
  <c r="T114" i="31" s="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S262" i="31" s="1"/>
  <c r="R263" i="31"/>
  <c r="S263" i="31" s="1"/>
  <c r="R264" i="31"/>
  <c r="T264" i="31" s="1"/>
  <c r="R265" i="31"/>
  <c r="S265" i="31" s="1"/>
  <c r="R266" i="31"/>
  <c r="R267" i="31"/>
  <c r="S267" i="31" s="1"/>
  <c r="R268" i="31"/>
  <c r="T268" i="31" s="1"/>
  <c r="R269" i="31"/>
  <c r="S269" i="31" s="1"/>
  <c r="R270" i="31"/>
  <c r="T270" i="31" s="1"/>
  <c r="R271" i="31"/>
  <c r="S271" i="31" s="1"/>
  <c r="R272" i="31"/>
  <c r="R273" i="31"/>
  <c r="S273" i="31" s="1"/>
  <c r="R274" i="31"/>
  <c r="T274" i="31" s="1"/>
  <c r="R275" i="31"/>
  <c r="S275" i="31" s="1"/>
  <c r="R276" i="31"/>
  <c r="R277" i="31"/>
  <c r="S277" i="31" s="1"/>
  <c r="R278" i="31"/>
  <c r="S278" i="31" s="1"/>
  <c r="R279" i="31"/>
  <c r="S279" i="31" s="1"/>
  <c r="R280" i="31"/>
  <c r="T280" i="31" s="1"/>
  <c r="R281" i="31"/>
  <c r="S281" i="31" s="1"/>
  <c r="R282" i="31"/>
  <c r="R283" i="31"/>
  <c r="S283" i="31" s="1"/>
  <c r="R284" i="31"/>
  <c r="T284" i="31" s="1"/>
  <c r="R285" i="31"/>
  <c r="S285" i="31" s="1"/>
  <c r="R286" i="31"/>
  <c r="T286" i="31" s="1"/>
  <c r="R287" i="31"/>
  <c r="S287" i="31" s="1"/>
  <c r="R288" i="31"/>
  <c r="R289" i="31"/>
  <c r="S289" i="31" s="1"/>
  <c r="R290" i="31"/>
  <c r="T290" i="31" s="1"/>
  <c r="R291" i="31"/>
  <c r="S291" i="31" s="1"/>
  <c r="R292" i="31"/>
  <c r="R293" i="31"/>
  <c r="S293" i="31" s="1"/>
  <c r="R294" i="31"/>
  <c r="S294" i="31" s="1"/>
  <c r="R295" i="31"/>
  <c r="S295" i="31" s="1"/>
  <c r="R296" i="31"/>
  <c r="T296" i="31" s="1"/>
  <c r="R297" i="31"/>
  <c r="S297" i="31" s="1"/>
  <c r="R298" i="31"/>
  <c r="R299" i="31"/>
  <c r="S299" i="31" s="1"/>
  <c r="R300" i="31"/>
  <c r="T300" i="31" s="1"/>
  <c r="R301" i="31"/>
  <c r="S301" i="31" s="1"/>
  <c r="R302" i="31"/>
  <c r="T302" i="31" s="1"/>
  <c r="R303" i="31"/>
  <c r="S303" i="31" s="1"/>
  <c r="R304" i="31"/>
  <c r="R305" i="31"/>
  <c r="S305" i="31" s="1"/>
  <c r="R306" i="31"/>
  <c r="T306" i="31" s="1"/>
  <c r="R307" i="31"/>
  <c r="S307" i="31" s="1"/>
  <c r="R308" i="31"/>
  <c r="R309" i="31"/>
  <c r="S309" i="31" s="1"/>
  <c r="R310" i="31"/>
  <c r="S310" i="31" s="1"/>
  <c r="R311" i="31"/>
  <c r="S311" i="31" s="1"/>
  <c r="R312" i="31"/>
  <c r="T312" i="31" s="1"/>
  <c r="R313" i="31"/>
  <c r="S313" i="31" s="1"/>
  <c r="R314" i="31"/>
  <c r="R315" i="31"/>
  <c r="S315" i="31" s="1"/>
  <c r="R316" i="31"/>
  <c r="T316" i="31" s="1"/>
  <c r="R317" i="31"/>
  <c r="S317" i="31" s="1"/>
  <c r="R318" i="31"/>
  <c r="T318" i="31" s="1"/>
  <c r="R319" i="31"/>
  <c r="S319" i="31" s="1"/>
  <c r="R320" i="31"/>
  <c r="R321" i="31"/>
  <c r="S321" i="31" s="1"/>
  <c r="R322" i="31"/>
  <c r="T322" i="31" s="1"/>
  <c r="R323" i="31"/>
  <c r="S323" i="31" s="1"/>
  <c r="R324" i="31"/>
  <c r="S324" i="31" s="1"/>
  <c r="R325" i="31"/>
  <c r="T325" i="31" s="1"/>
  <c r="R326" i="31"/>
  <c r="T326" i="31" s="1"/>
  <c r="R327" i="31"/>
  <c r="T327" i="31" s="1"/>
  <c r="R328" i="31"/>
  <c r="R329" i="31"/>
  <c r="T329" i="31" s="1"/>
  <c r="R330" i="31"/>
  <c r="T330" i="31" s="1"/>
  <c r="R331" i="31"/>
  <c r="T331" i="31" s="1"/>
  <c r="R332" i="31"/>
  <c r="T332" i="31" s="1"/>
  <c r="R333" i="31"/>
  <c r="T333" i="31" s="1"/>
  <c r="R334" i="31"/>
  <c r="R335" i="31"/>
  <c r="T335" i="31" s="1"/>
  <c r="R336" i="31"/>
  <c r="T336" i="31" s="1"/>
  <c r="R337" i="31"/>
  <c r="T337" i="31" s="1"/>
  <c r="R338" i="31"/>
  <c r="R339" i="31"/>
  <c r="T339" i="31" s="1"/>
  <c r="R340" i="31"/>
  <c r="S340" i="31" s="1"/>
  <c r="R341" i="31"/>
  <c r="T341" i="31" s="1"/>
  <c r="R342" i="31"/>
  <c r="T342" i="31" s="1"/>
  <c r="R343" i="31"/>
  <c r="T343" i="31" s="1"/>
  <c r="R344" i="31"/>
  <c r="R345" i="31"/>
  <c r="T345" i="31" s="1"/>
  <c r="R346" i="31"/>
  <c r="T346" i="31" s="1"/>
  <c r="R347" i="31"/>
  <c r="T347" i="31" s="1"/>
  <c r="R348" i="31"/>
  <c r="T348" i="31" s="1"/>
  <c r="R349" i="31"/>
  <c r="T349" i="31" s="1"/>
  <c r="R350" i="31"/>
  <c r="R351" i="31"/>
  <c r="T351" i="31" s="1"/>
  <c r="R352" i="31"/>
  <c r="T352" i="31" s="1"/>
  <c r="R353" i="31"/>
  <c r="T353" i="31" s="1"/>
  <c r="R354" i="31"/>
  <c r="R355" i="31"/>
  <c r="T355" i="31" s="1"/>
  <c r="R356" i="31"/>
  <c r="S356" i="31" s="1"/>
  <c r="R357" i="31"/>
  <c r="T357" i="31" s="1"/>
  <c r="R358" i="31"/>
  <c r="T358" i="31" s="1"/>
  <c r="R359" i="31"/>
  <c r="T359" i="31" s="1"/>
  <c r="R360" i="31"/>
  <c r="R361" i="31"/>
  <c r="T361" i="31" s="1"/>
  <c r="R362" i="31"/>
  <c r="T362" i="31" s="1"/>
  <c r="R363" i="31"/>
  <c r="T363" i="31" s="1"/>
  <c r="R364" i="31"/>
  <c r="T364" i="31" s="1"/>
  <c r="R365" i="31"/>
  <c r="T365" i="31" s="1"/>
  <c r="R366" i="31"/>
  <c r="R367" i="31"/>
  <c r="T367" i="31" s="1"/>
  <c r="R368" i="31"/>
  <c r="T368" i="31" s="1"/>
  <c r="R369" i="31"/>
  <c r="T369" i="31" s="1"/>
  <c r="R370" i="31"/>
  <c r="R371" i="31"/>
  <c r="T371" i="31" s="1"/>
  <c r="R372" i="31"/>
  <c r="S372" i="31" s="1"/>
  <c r="R373" i="31"/>
  <c r="T373" i="31" s="1"/>
  <c r="R374" i="31"/>
  <c r="T374" i="31" s="1"/>
  <c r="R375" i="31"/>
  <c r="T375" i="31" s="1"/>
  <c r="R376" i="31"/>
  <c r="R377" i="31"/>
  <c r="T377" i="31" s="1"/>
  <c r="R378" i="31"/>
  <c r="T378" i="31" s="1"/>
  <c r="R379" i="31"/>
  <c r="T379" i="31" s="1"/>
  <c r="R380" i="31"/>
  <c r="T380" i="31" s="1"/>
  <c r="R381" i="31"/>
  <c r="T381" i="31" s="1"/>
  <c r="R382" i="31"/>
  <c r="R383" i="31"/>
  <c r="T383" i="31" s="1"/>
  <c r="R384" i="31"/>
  <c r="T384" i="31" s="1"/>
  <c r="R385" i="31"/>
  <c r="T385" i="31" s="1"/>
  <c r="R386" i="31"/>
  <c r="R387" i="31"/>
  <c r="T387" i="31" s="1"/>
  <c r="R388" i="31"/>
  <c r="S388" i="31" s="1"/>
  <c r="R389" i="31"/>
  <c r="T389" i="31" s="1"/>
  <c r="R390" i="31"/>
  <c r="T390" i="31" s="1"/>
  <c r="R391" i="31"/>
  <c r="T391" i="31" s="1"/>
  <c r="R392" i="31"/>
  <c r="R393" i="31"/>
  <c r="T393" i="31" s="1"/>
  <c r="R394" i="31"/>
  <c r="T394" i="31" s="1"/>
  <c r="R395" i="31"/>
  <c r="T395" i="31" s="1"/>
  <c r="R396" i="31"/>
  <c r="T396" i="31" s="1"/>
  <c r="R397" i="31"/>
  <c r="T397" i="31" s="1"/>
  <c r="R398" i="31"/>
  <c r="R399" i="31"/>
  <c r="T399" i="31" s="1"/>
  <c r="R400" i="31"/>
  <c r="T400" i="31" s="1"/>
  <c r="R401" i="31"/>
  <c r="T401" i="31" s="1"/>
  <c r="R402" i="31"/>
  <c r="R403" i="31"/>
  <c r="T403" i="31" s="1"/>
  <c r="R404" i="31"/>
  <c r="S404" i="31" s="1"/>
  <c r="R405" i="31"/>
  <c r="T405" i="31" s="1"/>
  <c r="R406" i="31"/>
  <c r="T406" i="31" s="1"/>
  <c r="R407" i="31"/>
  <c r="T407" i="31" s="1"/>
  <c r="R408" i="31"/>
  <c r="R409" i="31"/>
  <c r="T409" i="31" s="1"/>
  <c r="R410" i="31"/>
  <c r="T410" i="31" s="1"/>
  <c r="R411" i="31"/>
  <c r="T411" i="31" s="1"/>
  <c r="R412" i="31"/>
  <c r="T412" i="31" s="1"/>
  <c r="R413" i="31"/>
  <c r="T413" i="31" s="1"/>
  <c r="R414" i="31"/>
  <c r="R415" i="31"/>
  <c r="T415" i="31" s="1"/>
  <c r="R416" i="31"/>
  <c r="T416" i="31" s="1"/>
  <c r="R417" i="31"/>
  <c r="T417" i="31" s="1"/>
  <c r="R418" i="31"/>
  <c r="R419" i="31"/>
  <c r="T419" i="31" s="1"/>
  <c r="R420" i="31"/>
  <c r="S420" i="31" s="1"/>
  <c r="R421" i="31"/>
  <c r="T421" i="31" s="1"/>
  <c r="R422" i="31"/>
  <c r="T422" i="31" s="1"/>
  <c r="R423" i="31"/>
  <c r="T423" i="31" s="1"/>
  <c r="R424" i="31"/>
  <c r="R425" i="31"/>
  <c r="T425" i="31" s="1"/>
  <c r="R426" i="31"/>
  <c r="R427" i="31"/>
  <c r="T427" i="31" s="1"/>
  <c r="R428" i="31"/>
  <c r="T428" i="31" s="1"/>
  <c r="R429" i="31"/>
  <c r="T429" i="31" s="1"/>
  <c r="R430" i="31"/>
  <c r="T430" i="31" s="1"/>
  <c r="R431" i="31"/>
  <c r="T431" i="31" s="1"/>
  <c r="R432" i="31"/>
  <c r="R433" i="31"/>
  <c r="T433" i="31" s="1"/>
  <c r="R434" i="31"/>
  <c r="T434" i="31" s="1"/>
  <c r="R435" i="31"/>
  <c r="T435" i="31" s="1"/>
  <c r="R436" i="31"/>
  <c r="R437" i="31"/>
  <c r="T437" i="31" s="1"/>
  <c r="R438" i="31"/>
  <c r="T438" i="31" s="1"/>
  <c r="R439" i="31"/>
  <c r="T439" i="31" s="1"/>
  <c r="R440" i="31"/>
  <c r="T440" i="31" s="1"/>
  <c r="R441" i="31"/>
  <c r="T441" i="31" s="1"/>
  <c r="R442" i="31"/>
  <c r="T442" i="31" s="1"/>
  <c r="R443" i="31"/>
  <c r="T443" i="31" s="1"/>
  <c r="R444" i="31"/>
  <c r="R445" i="31"/>
  <c r="T445" i="31" s="1"/>
  <c r="R446" i="31"/>
  <c r="T446" i="31" s="1"/>
  <c r="R447" i="31"/>
  <c r="T447" i="31" s="1"/>
  <c r="R448" i="31"/>
  <c r="R449" i="31"/>
  <c r="R450" i="31"/>
  <c r="T450" i="31" s="1"/>
  <c r="R451" i="31"/>
  <c r="R452" i="31"/>
  <c r="R453" i="31"/>
  <c r="T453" i="31" s="1"/>
  <c r="R454" i="31"/>
  <c r="T454" i="31" s="1"/>
  <c r="R455" i="31"/>
  <c r="T455" i="31" s="1"/>
  <c r="R456" i="31"/>
  <c r="R457" i="31"/>
  <c r="T457" i="31" s="1"/>
  <c r="R458" i="31"/>
  <c r="T458" i="31" s="1"/>
  <c r="R459" i="31"/>
  <c r="T459" i="31" s="1"/>
  <c r="R460" i="31"/>
  <c r="T460" i="31" s="1"/>
  <c r="R461" i="31"/>
  <c r="T461" i="31" s="1"/>
  <c r="R462" i="31"/>
  <c r="T462" i="31" s="1"/>
  <c r="R463" i="31"/>
  <c r="T463" i="31" s="1"/>
  <c r="R464" i="31"/>
  <c r="R465" i="31"/>
  <c r="T465" i="31" s="1"/>
  <c r="R466" i="31"/>
  <c r="T466" i="31" s="1"/>
  <c r="R467" i="31"/>
  <c r="T467" i="31" s="1"/>
  <c r="R468" i="31"/>
  <c r="T468" i="31" s="1"/>
  <c r="R469" i="31"/>
  <c r="T469" i="31" s="1"/>
  <c r="R470" i="31"/>
  <c r="T470" i="31" s="1"/>
  <c r="R471" i="31"/>
  <c r="T471" i="31" s="1"/>
  <c r="R472" i="31"/>
  <c r="T472" i="31" s="1"/>
  <c r="R473" i="31"/>
  <c r="R474" i="31"/>
  <c r="T474" i="31" s="1"/>
  <c r="R475" i="31"/>
  <c r="T475" i="31" s="1"/>
  <c r="R476" i="31"/>
  <c r="T476" i="31" s="1"/>
  <c r="R477" i="31"/>
  <c r="R478" i="31"/>
  <c r="T478" i="31" s="1"/>
  <c r="R479" i="31"/>
  <c r="T479" i="31" s="1"/>
  <c r="R480" i="31"/>
  <c r="T480" i="31" s="1"/>
  <c r="R481" i="31"/>
  <c r="R482" i="31"/>
  <c r="T482" i="31" s="1"/>
  <c r="R483" i="31"/>
  <c r="T483" i="31" s="1"/>
  <c r="R484" i="31"/>
  <c r="T484" i="31" s="1"/>
  <c r="R485" i="31"/>
  <c r="R486" i="31"/>
  <c r="T486" i="31" s="1"/>
  <c r="R487" i="31"/>
  <c r="T487" i="31" s="1"/>
  <c r="R488" i="31"/>
  <c r="T488" i="31" s="1"/>
  <c r="R489" i="31"/>
  <c r="R490" i="31"/>
  <c r="T490" i="31" s="1"/>
  <c r="R491" i="31"/>
  <c r="T491" i="31" s="1"/>
  <c r="R492" i="31"/>
  <c r="T492" i="31" s="1"/>
  <c r="R493" i="31"/>
  <c r="R494" i="31"/>
  <c r="T494" i="31" s="1"/>
  <c r="R495" i="31"/>
  <c r="T495" i="31" s="1"/>
  <c r="R496" i="31"/>
  <c r="T496" i="31" s="1"/>
  <c r="R497" i="31"/>
  <c r="R498" i="31"/>
  <c r="T498" i="31" s="1"/>
  <c r="R499" i="31"/>
  <c r="T499" i="31" s="1"/>
  <c r="R500" i="31"/>
  <c r="S500" i="31" s="1"/>
  <c r="R501" i="31"/>
  <c r="T501" i="31" s="1"/>
  <c r="R502" i="31"/>
  <c r="R503" i="31"/>
  <c r="T503" i="31" s="1"/>
  <c r="R504" i="31"/>
  <c r="T504" i="31" s="1"/>
  <c r="R505" i="31"/>
  <c r="T505" i="31" s="1"/>
  <c r="R506" i="31"/>
  <c r="R507" i="31"/>
  <c r="R508" i="31"/>
  <c r="T508" i="31" s="1"/>
  <c r="R509" i="31"/>
  <c r="T509" i="31" s="1"/>
  <c r="R510" i="31"/>
  <c r="T510" i="31" s="1"/>
  <c r="R511" i="31"/>
  <c r="T511" i="31" s="1"/>
  <c r="R512" i="31"/>
  <c r="R513" i="31"/>
  <c r="T513" i="31" s="1"/>
  <c r="R514" i="31"/>
  <c r="T514" i="31" s="1"/>
  <c r="R515" i="31"/>
  <c r="T515" i="31" s="1"/>
  <c r="R516" i="3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c r="L12" i="47"/>
  <c r="M12" i="47"/>
  <c r="L4" i="47"/>
  <c r="M4" i="47" s="1"/>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16" i="31"/>
  <c r="S406" i="31"/>
  <c r="S394" i="31"/>
  <c r="S384" i="31"/>
  <c r="S374" i="31"/>
  <c r="S362" i="31"/>
  <c r="S352" i="31"/>
  <c r="S342" i="31"/>
  <c r="S330" i="31"/>
  <c r="S322" i="31"/>
  <c r="S312" i="31"/>
  <c r="S300" i="31"/>
  <c r="S290" i="31"/>
  <c r="S280" i="31"/>
  <c r="S268"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2" i="31"/>
  <c r="S214" i="31"/>
  <c r="S206" i="31"/>
  <c r="S198" i="31"/>
  <c r="S190" i="31"/>
  <c r="S182" i="31"/>
  <c r="S174" i="31"/>
  <c r="S166" i="31"/>
  <c r="S158" i="31"/>
  <c r="S150" i="31"/>
  <c r="S142" i="31"/>
  <c r="S134" i="31"/>
  <c r="S126" i="31"/>
  <c r="S499" i="31"/>
  <c r="S491" i="31"/>
  <c r="S483" i="31"/>
  <c r="S475" i="31"/>
  <c r="S124" i="31"/>
  <c r="S116" i="31"/>
  <c r="S503" i="31"/>
  <c r="S468" i="31"/>
  <c r="S51" i="31"/>
  <c r="S43" i="31"/>
  <c r="S35" i="31"/>
  <c r="S68" i="31"/>
  <c r="S60" i="31"/>
  <c r="S96" i="31"/>
  <c r="S88" i="31"/>
  <c r="S34" i="31"/>
  <c r="S106" i="31"/>
  <c r="S114" i="31"/>
  <c r="S510"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c r="S35" i="39" s="1"/>
  <c r="B111"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AA40" i="33" s="1"/>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AC27" i="34" s="1"/>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c r="S40" i="33"/>
  <c r="W8" i="21"/>
  <c r="H39" i="37"/>
  <c r="AB39" i="37" s="1"/>
  <c r="S27" i="35"/>
  <c r="F11" i="40"/>
  <c r="AA11" i="40" s="1"/>
  <c r="S8" i="40"/>
  <c r="H11" i="40"/>
  <c r="AB11" i="40"/>
  <c r="U9" i="40"/>
  <c r="U34" i="40"/>
  <c r="W39" i="40"/>
  <c r="F42" i="39"/>
  <c r="AA42" i="39" s="1"/>
  <c r="F41" i="39"/>
  <c r="AA41" i="39" s="1"/>
  <c r="H40" i="39"/>
  <c r="AB40" i="39" s="1"/>
  <c r="H39" i="39"/>
  <c r="U39" i="39" s="1"/>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U17" i="39" s="1"/>
  <c r="F17" i="39"/>
  <c r="AA17" i="39" s="1"/>
  <c r="J23" i="40"/>
  <c r="AC23" i="40" s="1"/>
  <c r="H42" i="39"/>
  <c r="AB42" i="39" s="1"/>
  <c r="J34" i="39"/>
  <c r="AC34" i="39" s="1"/>
  <c r="J31" i="39"/>
  <c r="W31" i="39" s="1"/>
  <c r="F102" i="39"/>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c r="F35" i="40"/>
  <c r="S35" i="40"/>
  <c r="J30" i="40"/>
  <c r="W30" i="40"/>
  <c r="F30" i="40"/>
  <c r="AA30" i="40"/>
  <c r="H27" i="40"/>
  <c r="U27" i="40"/>
  <c r="H23" i="40"/>
  <c r="AB23" i="40"/>
  <c r="J11" i="40"/>
  <c r="W11" i="40"/>
  <c r="AB12" i="33"/>
  <c r="AA12" i="33"/>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U40" i="33"/>
  <c r="U8" i="33"/>
  <c r="S8" i="33"/>
  <c r="F37" i="40"/>
  <c r="AA37" i="40"/>
  <c r="F36" i="40"/>
  <c r="AA36" i="40"/>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c r="AA37" i="33"/>
  <c r="H36" i="33"/>
  <c r="U36" i="33" s="1"/>
  <c r="S25" i="33"/>
  <c r="F17" i="33"/>
  <c r="AA17" i="33"/>
  <c r="H15" i="33"/>
  <c r="AB15" i="33"/>
  <c r="AB11" i="33"/>
  <c r="AC42" i="34"/>
  <c r="W42" i="34"/>
  <c r="AA42" i="34"/>
  <c r="S42" i="34"/>
  <c r="W38" i="34"/>
  <c r="J37" i="33"/>
  <c r="AC37" i="33"/>
  <c r="J36" i="33"/>
  <c r="AC36" i="33"/>
  <c r="J11" i="33"/>
  <c r="AC11" i="33"/>
  <c r="J42" i="21"/>
  <c r="AC42" i="21"/>
  <c r="H42" i="21"/>
  <c r="AB42" i="2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B14" i="33"/>
  <c r="W28" i="37"/>
  <c r="W30" i="33"/>
  <c r="AC32" i="34"/>
  <c r="AC14" i="34"/>
  <c r="J10" i="36"/>
  <c r="AC10" i="36" s="1"/>
  <c r="AB46" i="21"/>
  <c r="U14" i="21"/>
  <c r="AC14" i="21"/>
  <c r="AC13" i="36"/>
  <c r="U32" i="36"/>
  <c r="AB45" i="33"/>
  <c r="U31" i="33"/>
  <c r="AC29" i="33"/>
  <c r="W29" i="33"/>
  <c r="AB28" i="33"/>
  <c r="U42" i="21"/>
  <c r="S33" i="21"/>
  <c r="S19" i="21"/>
  <c r="J41" i="39"/>
  <c r="W41" i="39" s="1"/>
  <c r="AC45" i="39"/>
  <c r="U36" i="39"/>
  <c r="S508"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S28" i="34"/>
  <c r="J33" i="34"/>
  <c r="W33" i="34" s="1"/>
  <c r="J37" i="34"/>
  <c r="W37" i="34" s="1"/>
  <c r="S23" i="34"/>
  <c r="AB33"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12" i="34"/>
  <c r="AC12" i="34"/>
  <c r="J9" i="34"/>
  <c r="AC9" i="34"/>
  <c r="F9" i="34"/>
  <c r="S9" i="34"/>
  <c r="AA19" i="34"/>
  <c r="S19" i="34"/>
  <c r="AB23" i="36"/>
  <c r="U23"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H28" i="34"/>
  <c r="U28" i="34"/>
  <c r="E116" i="34"/>
  <c r="F116" i="34"/>
  <c r="G116" i="34" s="1"/>
  <c r="H116" i="34" s="1"/>
  <c r="I116" i="34" s="1"/>
  <c r="J116" i="34" s="1"/>
  <c r="K116" i="34" s="1"/>
  <c r="L116" i="34" s="1"/>
  <c r="M116" i="34" s="1"/>
  <c r="J39" i="34"/>
  <c r="W39" i="34" s="1"/>
  <c r="J27" i="36"/>
  <c r="F37" i="34"/>
  <c r="AA37" i="34" s="1"/>
  <c r="H37" i="34"/>
  <c r="U37" i="34" s="1"/>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S12" i="34"/>
  <c r="AA12" i="34"/>
  <c r="AA11" i="34"/>
  <c r="F80"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F59" i="43"/>
  <c r="H63" i="43" s="1"/>
  <c r="G15" i="47"/>
  <c r="W40" i="40"/>
  <c r="U15" i="37"/>
  <c r="AB24" i="36"/>
  <c r="H25" i="34"/>
  <c r="U25" i="34"/>
  <c r="AB35" i="39"/>
  <c r="AC40" i="37"/>
  <c r="S27" i="37"/>
  <c r="AA12" i="37"/>
  <c r="AA34" i="35"/>
  <c r="S34" i="35"/>
  <c r="AB24" i="35"/>
  <c r="J17" i="34"/>
  <c r="AC17" i="34" s="1"/>
  <c r="G80" i="34"/>
  <c r="F17" i="34"/>
  <c r="AA17" i="34" s="1"/>
  <c r="H27" i="33"/>
  <c r="AB27" i="33"/>
  <c r="F43" i="33"/>
  <c r="S43" i="33"/>
  <c r="J43" i="33"/>
  <c r="AC43" i="33"/>
  <c r="AB31" i="21"/>
  <c r="U31" i="21"/>
  <c r="AA29" i="21"/>
  <c r="S29" i="21"/>
  <c r="W29" i="21"/>
  <c r="AC27" i="21"/>
  <c r="H27" i="36"/>
  <c r="AB27" i="36" s="1"/>
  <c r="F27" i="36"/>
  <c r="AA27" i="36" s="1"/>
  <c r="J28" i="34"/>
  <c r="W28" i="34" s="1"/>
  <c r="AB34" i="21"/>
  <c r="H11" i="34"/>
  <c r="U11" i="34" s="1"/>
  <c r="S17" i="37"/>
  <c r="J11" i="37"/>
  <c r="AC11" i="37" s="1"/>
  <c r="AC36" i="34"/>
  <c r="W12" i="39"/>
  <c r="AC12" i="39"/>
  <c r="W9" i="34"/>
  <c r="S45" i="21"/>
  <c r="AB13" i="21"/>
  <c r="AC37" i="37"/>
  <c r="U38" i="40"/>
  <c r="F23" i="39"/>
  <c r="AA23" i="39" s="1"/>
  <c r="F96" i="39"/>
  <c r="G96" i="39" s="1"/>
  <c r="S26" i="37"/>
  <c r="F44" i="34"/>
  <c r="AA44" i="34" s="1"/>
  <c r="F126" i="34"/>
  <c r="G126" i="34"/>
  <c r="J44" i="34"/>
  <c r="AC44" i="34"/>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J25" i="34"/>
  <c r="W25"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C34" i="34" s="1"/>
  <c r="H34" i="34" s="1"/>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G125" i="57" s="1"/>
  <c r="V25" i="31"/>
  <c r="C36" i="57" s="1"/>
  <c r="D125" i="57" s="1"/>
  <c r="D3" i="21"/>
  <c r="M6" i="43"/>
  <c r="M5" i="43"/>
  <c r="F81" i="43"/>
  <c r="H85" i="43" s="1"/>
  <c r="H13" i="44"/>
  <c r="H11" i="44"/>
  <c r="C51" i="10"/>
  <c r="A8" i="54"/>
  <c r="B8" i="60" s="1"/>
  <c r="F2" i="21"/>
  <c r="F2" i="34"/>
  <c r="F2" i="35"/>
  <c r="F2" i="33"/>
  <c r="D36" i="57"/>
  <c r="C114" i="9"/>
  <c r="H112" i="9" s="1"/>
  <c r="C120" i="57"/>
  <c r="H116" i="57" s="1"/>
  <c r="A18" i="54"/>
  <c r="B15" i="60" s="1"/>
  <c r="T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s="1"/>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53" i="10"/>
  <c r="D123" i="9"/>
  <c r="D6" i="52" s="1"/>
  <c r="D124" i="9"/>
  <c r="D7" i="52"/>
  <c r="N49" i="57"/>
  <c r="B58" i="60"/>
  <c r="K106" i="43"/>
  <c r="A125" i="57"/>
  <c r="N47" i="9"/>
  <c r="N104" i="46"/>
  <c r="J17" i="43"/>
  <c r="C7" i="33"/>
  <c r="C58" i="33" s="1"/>
  <c r="D58" i="33" s="1"/>
  <c r="E58" i="33" s="1"/>
  <c r="F58" i="33" s="1"/>
  <c r="G58" i="33" s="1"/>
  <c r="H58" i="33" s="1"/>
  <c r="I58" i="33" s="1"/>
  <c r="J58" i="33" s="1"/>
  <c r="K58" i="33" s="1"/>
  <c r="L58" i="33" s="1"/>
  <c r="M58" i="33" s="1"/>
  <c r="N58" i="33" s="1"/>
  <c r="O58" i="33" s="1"/>
  <c r="H104" i="43"/>
  <c r="D102" i="43"/>
  <c r="G104" i="43"/>
  <c r="D115" i="43"/>
  <c r="E115" i="43" s="1"/>
  <c r="F115" i="43" s="1"/>
  <c r="N106" i="43"/>
  <c r="G37" i="47"/>
  <c r="G19" i="43"/>
  <c r="O19" i="43" s="1"/>
  <c r="F36" i="43"/>
  <c r="C17" i="43"/>
  <c r="F35" i="43"/>
  <c r="F37" i="43"/>
  <c r="F39" i="43"/>
  <c r="K17" i="43"/>
  <c r="C7" i="36"/>
  <c r="C46" i="36" s="1"/>
  <c r="F38" i="43"/>
  <c r="K86" i="43"/>
  <c r="J86" i="43"/>
  <c r="D86" i="43"/>
  <c r="M87" i="43"/>
  <c r="N87" i="43" s="1"/>
  <c r="K82" i="43"/>
  <c r="J82" i="43" s="1"/>
  <c r="D82" i="43"/>
  <c r="M83" i="43"/>
  <c r="N83" i="43"/>
  <c r="H65" i="43"/>
  <c r="B116" i="43"/>
  <c r="C116" i="43" s="1"/>
  <c r="E105" i="43"/>
  <c r="F106" i="43"/>
  <c r="M12" i="43"/>
  <c r="M8" i="43"/>
  <c r="N7" i="43"/>
  <c r="M3" i="43"/>
  <c r="M11" i="43"/>
  <c r="N8" i="43"/>
  <c r="H8" i="44"/>
  <c r="H12" i="44"/>
  <c r="C62" i="39"/>
  <c r="M85" i="43"/>
  <c r="N85" i="43"/>
  <c r="K85" i="43"/>
  <c r="J85" i="43"/>
  <c r="D85" i="43"/>
  <c r="M82" i="43"/>
  <c r="N82" i="43" s="1"/>
  <c r="K83" i="43"/>
  <c r="J83" i="43" s="1"/>
  <c r="D83"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45" i="34"/>
  <c r="AB45" i="34"/>
  <c r="AB35" i="34"/>
  <c r="AB27" i="34"/>
  <c r="W29" i="34"/>
  <c r="W43"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C23" i="59"/>
  <c r="D23" i="59"/>
  <c r="D24" i="59"/>
  <c r="B25" i="59"/>
  <c r="S25" i="59" s="1"/>
  <c r="AB25" i="59"/>
  <c r="U25" i="59"/>
  <c r="AA24" i="59"/>
  <c r="X24" i="59"/>
  <c r="AB24" i="59"/>
  <c r="AA23" i="59"/>
  <c r="Y23" i="59"/>
  <c r="Z23" i="59"/>
  <c r="Y21" i="59"/>
  <c r="Z21" i="59"/>
  <c r="AB21" i="59"/>
  <c r="AB19" i="59"/>
  <c r="X21" i="59"/>
  <c r="X19" i="59"/>
  <c r="AA21" i="59"/>
  <c r="AA19" i="59"/>
  <c r="AB20" i="59"/>
  <c r="X20" i="59"/>
  <c r="U21" i="59"/>
  <c r="J30" i="35"/>
  <c r="W30" i="35" s="1"/>
  <c r="H30" i="35"/>
  <c r="U30" i="35" s="1"/>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X3" i="59"/>
  <c r="Y3" i="59"/>
  <c r="Z3" i="59" s="1"/>
  <c r="D22" i="59"/>
  <c r="F48" i="43"/>
  <c r="H50" i="43" s="1"/>
  <c r="G4" i="47"/>
  <c r="B24" i="59"/>
  <c r="B23" i="59" s="1"/>
  <c r="B22" i="59" s="1"/>
  <c r="B21" i="59" s="1"/>
  <c r="AC30" i="35"/>
  <c r="D20" i="59"/>
  <c r="I116" i="57"/>
  <c r="D133" i="57" s="1"/>
  <c r="D120" i="57"/>
  <c r="I114" i="9"/>
  <c r="D129" i="9" s="1"/>
  <c r="I112" i="9"/>
  <c r="D116" i="9"/>
  <c r="D114" i="9"/>
  <c r="D115" i="9"/>
  <c r="I113" i="9" s="1"/>
  <c r="D7" i="61"/>
  <c r="F6" i="61"/>
  <c r="E2" i="11"/>
  <c r="F4" i="61"/>
  <c r="F3" i="61"/>
  <c r="E2" i="37"/>
  <c r="D5" i="61"/>
  <c r="E2" i="36"/>
  <c r="D6" i="61"/>
  <c r="F7" i="61"/>
  <c r="D3" i="61"/>
  <c r="H23" i="31"/>
  <c r="F5" i="61"/>
  <c r="E2" i="35"/>
  <c r="D4" i="61"/>
  <c r="E2" i="21"/>
  <c r="E2" i="34"/>
  <c r="E2" i="33"/>
  <c r="AB34" i="34" l="1"/>
  <c r="U34" i="34"/>
  <c r="F34" i="34"/>
  <c r="AA34" i="34" s="1"/>
  <c r="J34" i="34"/>
  <c r="AC34" i="34" s="1"/>
  <c r="J52" i="15"/>
  <c r="M60" i="15" s="1"/>
  <c r="C7" i="34"/>
  <c r="C7" i="37"/>
  <c r="C52" i="37" s="1"/>
  <c r="D52" i="37" s="1"/>
  <c r="E52" i="37" s="1"/>
  <c r="F52" i="37" s="1"/>
  <c r="C7" i="21"/>
  <c r="C58" i="21" s="1"/>
  <c r="D58" i="21" s="1"/>
  <c r="E58" i="21" s="1"/>
  <c r="C7" i="39"/>
  <c r="C67" i="39" s="1"/>
  <c r="C69" i="39" s="1"/>
  <c r="C7" i="40"/>
  <c r="C62" i="40" s="1"/>
  <c r="D62" i="40" s="1"/>
  <c r="W17" i="34"/>
  <c r="AB17" i="34"/>
  <c r="S17" i="34"/>
  <c r="T516" i="31"/>
  <c r="S516" i="31"/>
  <c r="T512" i="31"/>
  <c r="S512" i="31"/>
  <c r="T506" i="31"/>
  <c r="S506" i="31"/>
  <c r="T502" i="31"/>
  <c r="S502" i="31"/>
  <c r="T464" i="31"/>
  <c r="S464" i="31"/>
  <c r="T456" i="31"/>
  <c r="S456" i="31"/>
  <c r="T452" i="31"/>
  <c r="S452"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S504" i="31"/>
  <c r="S514" i="31"/>
  <c r="S450" i="31"/>
  <c r="S110" i="31"/>
  <c r="S102" i="31"/>
  <c r="S84" i="31"/>
  <c r="S92" i="31"/>
  <c r="S100" i="31"/>
  <c r="S64" i="31"/>
  <c r="S72" i="31"/>
  <c r="S460" i="31"/>
  <c r="S120" i="31"/>
  <c r="S440" i="31"/>
  <c r="S130" i="31"/>
  <c r="S138" i="31"/>
  <c r="S146" i="31"/>
  <c r="S154" i="31"/>
  <c r="S162" i="31"/>
  <c r="S170" i="31"/>
  <c r="S178" i="31"/>
  <c r="S186" i="31"/>
  <c r="S194" i="31"/>
  <c r="S202" i="31"/>
  <c r="S210" i="31"/>
  <c r="S218" i="31"/>
  <c r="S428" i="31"/>
  <c r="S264" i="31"/>
  <c r="S274" i="31"/>
  <c r="S284" i="31"/>
  <c r="S296" i="31"/>
  <c r="S306" i="31"/>
  <c r="S316" i="31"/>
  <c r="S326" i="31"/>
  <c r="S336" i="31"/>
  <c r="S346" i="31"/>
  <c r="S358" i="31"/>
  <c r="S368" i="31"/>
  <c r="S378" i="31"/>
  <c r="S390" i="31"/>
  <c r="S400" i="31"/>
  <c r="S410" i="31"/>
  <c r="S422" i="31"/>
  <c r="AA27" i="34"/>
  <c r="S37" i="34"/>
  <c r="AC37" i="34"/>
  <c r="W34" i="34"/>
  <c r="AC11" i="34"/>
  <c r="AB8" i="34"/>
  <c r="D42" i="50"/>
  <c r="D43" i="50" s="1"/>
  <c r="D116" i="43"/>
  <c r="E116" i="43" s="1"/>
  <c r="F116" i="43" s="1"/>
  <c r="G116" i="43" s="1"/>
  <c r="H116" i="43" s="1"/>
  <c r="D117" i="43"/>
  <c r="E117" i="43" s="1"/>
  <c r="F117" i="43" s="1"/>
  <c r="G117" i="43" s="1"/>
  <c r="H117" i="43" s="1"/>
  <c r="B117" i="43"/>
  <c r="C117" i="43" s="1"/>
  <c r="C105" i="43"/>
  <c r="K103" i="43"/>
  <c r="D105" i="43"/>
  <c r="L104" i="43"/>
  <c r="H102" i="43"/>
  <c r="G103" i="43"/>
  <c r="N46" i="9"/>
  <c r="A2" i="9"/>
  <c r="A8" i="52"/>
  <c r="B65" i="60" s="1"/>
  <c r="B20" i="59"/>
  <c r="B19" i="59" s="1"/>
  <c r="B18" i="59" s="1"/>
  <c r="B17" i="59" s="1"/>
  <c r="S21" i="59"/>
  <c r="D39" i="50"/>
  <c r="D40" i="50" s="1"/>
  <c r="D19" i="59"/>
  <c r="I14" i="62"/>
  <c r="B8" i="62" s="1"/>
  <c r="D8" i="62" s="1"/>
  <c r="D21" i="59"/>
  <c r="AB30" i="35"/>
  <c r="V21" i="59"/>
  <c r="T21" i="59"/>
  <c r="H81" i="43"/>
  <c r="U23" i="39"/>
  <c r="S27" i="36"/>
  <c r="S40" i="21"/>
  <c r="S24" i="36"/>
  <c r="W17" i="21"/>
  <c r="AC11" i="36"/>
  <c r="S46" i="33"/>
  <c r="S14" i="33"/>
  <c r="S47" i="34"/>
  <c r="AB37" i="37"/>
  <c r="AA44" i="33"/>
  <c r="F16" i="59"/>
  <c r="F15" i="59" s="1"/>
  <c r="F14" i="59" s="1"/>
  <c r="F13" i="59" s="1"/>
  <c r="V17" i="59"/>
  <c r="AB15" i="34"/>
  <c r="U15" i="34"/>
  <c r="AB39" i="39"/>
  <c r="AC38" i="21"/>
  <c r="F26" i="33"/>
  <c r="H12" i="21"/>
  <c r="J12" i="21"/>
  <c r="H9" i="36"/>
  <c r="J9" i="36"/>
  <c r="F9" i="36"/>
  <c r="O67" i="59"/>
  <c r="O66" i="59"/>
  <c r="D67" i="59"/>
  <c r="M19" i="43"/>
  <c r="U41" i="59"/>
  <c r="S21" i="21"/>
  <c r="S21" i="37"/>
  <c r="C29" i="39"/>
  <c r="C25" i="40"/>
  <c r="B66" i="43"/>
  <c r="F31" i="59"/>
  <c r="F32" i="59" s="1"/>
  <c r="F33" i="59" s="1"/>
  <c r="V33" i="59" s="1"/>
  <c r="Y38" i="59"/>
  <c r="Z38" i="59" s="1"/>
  <c r="C39" i="59"/>
  <c r="F39" i="59"/>
  <c r="F40" i="59" s="1"/>
  <c r="F41" i="59" s="1"/>
  <c r="V41" i="59" s="1"/>
  <c r="B55" i="43"/>
  <c r="U29" i="59"/>
  <c r="D68" i="59"/>
  <c r="AA26" i="59"/>
  <c r="AA29" i="59"/>
  <c r="S29" i="59"/>
  <c r="X26" i="59"/>
  <c r="X29" i="59"/>
  <c r="B31" i="59"/>
  <c r="B32" i="59" s="1"/>
  <c r="B33" i="59" s="1"/>
  <c r="S33" i="59" s="1"/>
  <c r="C31" i="59"/>
  <c r="X33" i="59"/>
  <c r="B35" i="59"/>
  <c r="B36" i="59" s="1"/>
  <c r="B37" i="59" s="1"/>
  <c r="S37" i="59" s="1"/>
  <c r="C35" i="59"/>
  <c r="AB34" i="59"/>
  <c r="F35" i="59"/>
  <c r="F36" i="59" s="1"/>
  <c r="F37" i="59" s="1"/>
  <c r="V37" i="59" s="1"/>
  <c r="Y35" i="59"/>
  <c r="Z35" i="59" s="1"/>
  <c r="AB35" i="59"/>
  <c r="Y36" i="59"/>
  <c r="Z36" i="59" s="1"/>
  <c r="AB36" i="59"/>
  <c r="Y37" i="59"/>
  <c r="Z37" i="59" s="1"/>
  <c r="AB37" i="59"/>
  <c r="X38" i="59"/>
  <c r="B39" i="59"/>
  <c r="B40" i="59" s="1"/>
  <c r="B41" i="59" s="1"/>
  <c r="S41" i="59" s="1"/>
  <c r="X35" i="59"/>
  <c r="AA35" i="59"/>
  <c r="X36" i="59"/>
  <c r="AA36" i="59"/>
  <c r="X37" i="59"/>
  <c r="AA37" i="59"/>
  <c r="AA38" i="59"/>
  <c r="AA39" i="59"/>
  <c r="X5" i="59"/>
  <c r="X7" i="59"/>
  <c r="X6" i="59"/>
  <c r="X9" i="59"/>
  <c r="X8" i="59"/>
  <c r="X11" i="59"/>
  <c r="X10" i="59"/>
  <c r="X12" i="59"/>
  <c r="AB5" i="59"/>
  <c r="AB6" i="59"/>
  <c r="AB7" i="59"/>
  <c r="AB8" i="59"/>
  <c r="AB10" i="59"/>
  <c r="AB11" i="59"/>
  <c r="AB9" i="59"/>
  <c r="P69" i="59"/>
  <c r="B76" i="59"/>
  <c r="B75" i="59" s="1"/>
  <c r="F76" i="59"/>
  <c r="F75" i="59" s="1"/>
  <c r="AA22" i="59"/>
  <c r="AA25" i="59"/>
  <c r="E16" i="59"/>
  <c r="E15" i="59" s="1"/>
  <c r="E14" i="59" s="1"/>
  <c r="E13" i="59" s="1"/>
  <c r="U17" i="59"/>
  <c r="Y25" i="59"/>
  <c r="Z25" i="59" s="1"/>
  <c r="AB23" i="59"/>
  <c r="AB22" i="59"/>
  <c r="Y22" i="59"/>
  <c r="Z22" i="59" s="1"/>
  <c r="Y18" i="59"/>
  <c r="Z18" i="59" s="1"/>
  <c r="AB18" i="59"/>
  <c r="AA18" i="59"/>
  <c r="AA17" i="59"/>
  <c r="Y8" i="59"/>
  <c r="Z8" i="59" s="1"/>
  <c r="Y5" i="59"/>
  <c r="Z5" i="59" s="1"/>
  <c r="Y7" i="59"/>
  <c r="Z7" i="59" s="1"/>
  <c r="Y6" i="59"/>
  <c r="Z6" i="59" s="1"/>
  <c r="Y10" i="59"/>
  <c r="Z10" i="59" s="1"/>
  <c r="Y9" i="59"/>
  <c r="Z9" i="59" s="1"/>
  <c r="Y12" i="59"/>
  <c r="Z12" i="59" s="1"/>
  <c r="AA7" i="59"/>
  <c r="AA5" i="59"/>
  <c r="AA6" i="59"/>
  <c r="AA8" i="59"/>
  <c r="AA9" i="59"/>
  <c r="AA11" i="59"/>
  <c r="AA10" i="59"/>
  <c r="X23" i="59"/>
  <c r="AA20" i="59"/>
  <c r="X22" i="59"/>
  <c r="X18" i="59"/>
  <c r="AB17" i="59"/>
  <c r="Y19" i="59"/>
  <c r="Z19" i="59" s="1"/>
  <c r="Y11" i="59"/>
  <c r="Z11" i="59" s="1"/>
  <c r="AB12" i="59"/>
  <c r="Y24" i="59"/>
  <c r="Z24" i="59" s="1"/>
  <c r="Y20" i="59"/>
  <c r="Z20" i="59" s="1"/>
  <c r="X16" i="59"/>
  <c r="AA16" i="59"/>
  <c r="Y13" i="59"/>
  <c r="Z13" i="59" s="1"/>
  <c r="AA13" i="59"/>
  <c r="AA12" i="59"/>
  <c r="AA15" i="59"/>
  <c r="X14" i="59"/>
  <c r="B15" i="50"/>
  <c r="V25" i="59"/>
  <c r="X25" i="59"/>
  <c r="Y16" i="59"/>
  <c r="Z16" i="59" s="1"/>
  <c r="AB16" i="59"/>
  <c r="AB13" i="59"/>
  <c r="AB14" i="59"/>
  <c r="AB15" i="59"/>
  <c r="Y14" i="59"/>
  <c r="Z14" i="59" s="1"/>
  <c r="Y15" i="59"/>
  <c r="Z15" i="59" s="1"/>
  <c r="AA14" i="59"/>
  <c r="X13"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C116" i="57"/>
  <c r="H112" i="57" s="1"/>
  <c r="C17" i="12"/>
  <c r="B36" i="50"/>
  <c r="B56" i="60"/>
  <c r="H53" i="43"/>
  <c r="N60" i="15"/>
  <c r="C12" i="12"/>
  <c r="C16" i="12" s="1"/>
  <c r="G17" i="43"/>
  <c r="C16" i="43" s="1"/>
  <c r="C5" i="43" s="1"/>
  <c r="J20" i="15"/>
  <c r="C6" i="15"/>
  <c r="F51" i="15"/>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H67" i="39"/>
  <c r="D46" i="36"/>
  <c r="G115" i="43"/>
  <c r="H115" i="43" s="1"/>
  <c r="H72" i="43"/>
  <c r="H74" i="43"/>
  <c r="H77" i="43"/>
  <c r="F102" i="43"/>
  <c r="F107" i="43"/>
  <c r="J103" i="43"/>
  <c r="J109" i="43"/>
  <c r="M103" i="43"/>
  <c r="M105" i="43"/>
  <c r="E22" i="43"/>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S34" i="34" l="1"/>
  <c r="C8" i="62"/>
  <c r="C59" i="34"/>
  <c r="D59" i="34" s="1"/>
  <c r="I7" i="34"/>
  <c r="E7" i="34"/>
  <c r="G7" i="34"/>
  <c r="H7" i="35"/>
  <c r="D22" i="43"/>
  <c r="C21" i="43" s="1"/>
  <c r="H7" i="37"/>
  <c r="AB7" i="37" s="1"/>
  <c r="T42" i="37" s="1"/>
  <c r="G42" i="37" s="1"/>
  <c r="G46" i="37" s="1"/>
  <c r="H46" i="37" s="1"/>
  <c r="D69" i="39"/>
  <c r="F7" i="35"/>
  <c r="C36" i="59"/>
  <c r="D35" i="59"/>
  <c r="C40" i="59"/>
  <c r="D39" i="59"/>
  <c r="AC9" i="36"/>
  <c r="W9" i="36"/>
  <c r="AC12" i="21"/>
  <c r="W12" i="21"/>
  <c r="AA26" i="33"/>
  <c r="S26" i="33"/>
  <c r="C16" i="59"/>
  <c r="T17" i="59"/>
  <c r="C32" i="59"/>
  <c r="D31" i="59"/>
  <c r="S9" i="36"/>
  <c r="AA9" i="36"/>
  <c r="AB9" i="36"/>
  <c r="U9" i="36"/>
  <c r="AB12" i="21"/>
  <c r="U12" i="21"/>
  <c r="B16" i="59"/>
  <c r="B15" i="59" s="1"/>
  <c r="B14" i="59" s="1"/>
  <c r="B13" i="59" s="1"/>
  <c r="S17" i="59"/>
  <c r="F69" i="39"/>
  <c r="C7" i="43"/>
  <c r="U9" i="59"/>
  <c r="E8" i="59"/>
  <c r="V9" i="59"/>
  <c r="F8" i="59"/>
  <c r="C18" i="15"/>
  <c r="C16" i="15"/>
  <c r="J7" i="35"/>
  <c r="AC7" i="35" s="1"/>
  <c r="V38" i="35" s="1"/>
  <c r="I38" i="35" s="1"/>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E42" i="37"/>
  <c r="E46" i="37" s="1"/>
  <c r="F46" i="37" s="1"/>
  <c r="J7" i="36"/>
  <c r="W7" i="36" s="1"/>
  <c r="B12" i="59"/>
  <c r="B11" i="59" s="1"/>
  <c r="B10" i="59" s="1"/>
  <c r="B9" i="59" s="1"/>
  <c r="S13" i="59"/>
  <c r="D32" i="59"/>
  <c r="C33" i="59"/>
  <c r="D40" i="59"/>
  <c r="C41" i="59"/>
  <c r="D36" i="59"/>
  <c r="C37" i="59"/>
  <c r="F7" i="59"/>
  <c r="E7" i="59"/>
  <c r="H7" i="36"/>
  <c r="U7" i="36" s="1"/>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7" i="37"/>
  <c r="F47" i="37" s="1"/>
  <c r="AC7" i="36"/>
  <c r="V36" i="36" s="1"/>
  <c r="I36" i="36"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I47" i="37" l="1"/>
  <c r="J47" i="37" s="1"/>
  <c r="B8" i="59"/>
  <c r="B7" i="59" s="1"/>
  <c r="S9" i="59"/>
  <c r="D37" i="59"/>
  <c r="T37" i="59"/>
  <c r="D41" i="59"/>
  <c r="T41" i="59"/>
  <c r="D33" i="59"/>
  <c r="T33"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I62" i="40"/>
  <c r="H64" i="40"/>
  <c r="J58" i="21"/>
  <c r="K58" i="21" s="1"/>
  <c r="L58" i="21" s="1"/>
  <c r="M58" i="21" s="1"/>
  <c r="N58" i="21" s="1"/>
  <c r="O58" i="21" s="1"/>
  <c r="F7" i="21"/>
  <c r="L69" i="39"/>
  <c r="M67"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J7" i="21"/>
  <c r="W7" i="21" s="1"/>
  <c r="D10" i="59"/>
  <c r="C9" i="59"/>
  <c r="C8" i="59" s="1"/>
  <c r="C65" i="15"/>
  <c r="J62" i="40"/>
  <c r="I64" i="40"/>
  <c r="AB7" i="21"/>
  <c r="T48" i="21" s="1"/>
  <c r="G48" i="21" s="1"/>
  <c r="U7" i="21"/>
  <c r="AC7" i="21"/>
  <c r="V48" i="21" s="1"/>
  <c r="I48" i="21" s="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E49" i="34" s="1"/>
  <c r="E53" i="34" s="1"/>
  <c r="F53"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19" i="57"/>
  <c r="D20" i="57"/>
  <c r="D101" i="9" l="1"/>
  <c r="D102" i="9"/>
  <c r="D104" i="57"/>
  <c r="D103" i="57"/>
  <c r="R50" i="34"/>
  <c r="C49" i="34" s="1"/>
  <c r="E54" i="34"/>
  <c r="F54" i="34" s="1"/>
  <c r="I53" i="34"/>
  <c r="J53" i="34" s="1"/>
  <c r="I54" i="34"/>
  <c r="J54"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B3" i="34"/>
  <c r="AC7" i="40"/>
  <c r="V42" i="40" s="1"/>
  <c r="I42" i="40" s="1"/>
  <c r="I46" i="40" s="1"/>
  <c r="J46" i="40" s="1"/>
  <c r="W7" i="40"/>
  <c r="S7" i="40"/>
  <c r="AA7" i="40"/>
  <c r="R42" i="40" s="1"/>
  <c r="R43" i="40" s="1"/>
  <c r="AB7" i="40"/>
  <c r="T42" i="40" s="1"/>
  <c r="G42" i="40" s="1"/>
  <c r="G46" i="40" s="1"/>
  <c r="H46" i="40" s="1"/>
  <c r="U7" i="40"/>
  <c r="C19" i="57"/>
  <c r="C19" i="9"/>
  <c r="C20" i="9"/>
  <c r="C20" i="57"/>
  <c r="C102" i="9" l="1"/>
  <c r="G20" i="9"/>
  <c r="C101" i="9"/>
  <c r="G19" i="9"/>
  <c r="D22" i="9"/>
  <c r="C103" i="57"/>
  <c r="D22" i="57"/>
  <c r="G19" i="57"/>
  <c r="C105" i="57" s="1"/>
  <c r="C104" i="57"/>
  <c r="G20" i="57"/>
  <c r="R27" i="31" s="1"/>
  <c r="G47" i="40"/>
  <c r="H47" i="40" s="1"/>
  <c r="E42" i="40"/>
  <c r="C32" i="9" l="1"/>
  <c r="C35" i="9" s="1"/>
  <c r="C34" i="9" s="1"/>
  <c r="C106" i="57"/>
  <c r="T27" i="31"/>
  <c r="C33" i="57"/>
  <c r="S27" i="31"/>
  <c r="R28" i="31"/>
  <c r="I47" i="40"/>
  <c r="J47" i="40" s="1"/>
  <c r="E47" i="40"/>
  <c r="F47" i="40" s="1"/>
  <c r="E46" i="40"/>
  <c r="F46" i="40" s="1"/>
  <c r="C43" i="40"/>
  <c r="C42" i="40"/>
  <c r="S28" i="31" l="1"/>
  <c r="S25" i="31" s="1"/>
  <c r="T28" i="31"/>
  <c r="T25" i="31" s="1"/>
  <c r="B57" i="40"/>
  <c r="F57" i="40" s="1"/>
  <c r="B54" i="40"/>
  <c r="F54" i="40" s="1"/>
  <c r="B56" i="40"/>
  <c r="F56" i="40" s="1"/>
  <c r="B53" i="40"/>
  <c r="F53" i="40" s="1"/>
  <c r="B58" i="40"/>
  <c r="F58" i="40" s="1"/>
  <c r="B52" i="40"/>
  <c r="F52" i="40" s="1"/>
  <c r="B55" i="40"/>
  <c r="F55" i="40" s="1"/>
  <c r="B51" i="40"/>
  <c r="F51" i="40" s="1"/>
  <c r="F60" i="40" s="1"/>
  <c r="B2" i="40" s="1"/>
  <c r="B3" i="40" s="1"/>
  <c r="B59" i="40"/>
  <c r="F59" i="40" s="1"/>
  <c r="B23" i="31" l="1"/>
  <c r="R25" i="31"/>
  <c r="B2" i="31" l="1"/>
  <c r="C34" i="57" s="1"/>
  <c r="H125" i="57" s="1"/>
  <c r="B24" i="31"/>
  <c r="B3" i="31" s="1"/>
  <c r="C35" i="57" s="1"/>
  <c r="I125" i="57" s="1"/>
  <c r="C108" i="57" l="1"/>
  <c r="D111" i="57"/>
  <c r="I105" i="57"/>
  <c r="C107" i="57"/>
  <c r="D110" i="57"/>
  <c r="I104" i="57"/>
  <c r="H126" i="57"/>
  <c r="D47" i="57" l="1"/>
  <c r="I112" i="57"/>
  <c r="N50" i="57"/>
  <c r="D121" i="57"/>
  <c r="D116" i="57"/>
  <c r="D117" i="57" s="1"/>
  <c r="D121" i="9"/>
  <c r="F121" i="9"/>
  <c r="H121" i="9"/>
  <c r="H4" i="52" s="1"/>
  <c r="F122" i="9" l="1"/>
  <c r="F5" i="52" s="1"/>
  <c r="B42" i="60" s="1"/>
  <c r="F4" i="52"/>
  <c r="B40" i="60" s="1"/>
  <c r="D122" i="9"/>
  <c r="D5" i="52" s="1"/>
  <c r="B39" i="60" s="1"/>
  <c r="D4" i="52"/>
  <c r="B37" i="60" s="1"/>
  <c r="H122" i="9"/>
  <c r="H5" i="52" s="1"/>
  <c r="D14" i="62"/>
  <c r="I117" i="57"/>
  <c r="N51" i="57"/>
  <c r="D129" i="57"/>
  <c r="I113" i="57"/>
  <c r="D55" i="57"/>
  <c r="D50" i="57" s="1"/>
  <c r="N54" i="57" s="1"/>
  <c r="D61" i="57"/>
  <c r="N57" i="57" s="1"/>
  <c r="C87" i="57"/>
  <c r="C74" i="57"/>
  <c r="D54" i="57"/>
  <c r="C66" i="57"/>
  <c r="C65" i="57" s="1"/>
  <c r="C69" i="57" s="1"/>
  <c r="C70" i="57" s="1"/>
  <c r="D56" i="57" s="1"/>
  <c r="C95" i="57"/>
  <c r="C88" i="57" s="1"/>
  <c r="C80" i="57"/>
  <c r="C75" i="57" s="1"/>
  <c r="D57" i="57"/>
  <c r="N55" i="57" s="1"/>
  <c r="I102" i="9"/>
  <c r="C103" i="9"/>
  <c r="D106" i="9"/>
  <c r="D112" i="9" s="1"/>
  <c r="I121" i="9"/>
  <c r="I4" i="52" s="1"/>
  <c r="G121" i="9"/>
  <c r="G4" i="52" s="1"/>
  <c r="B41" i="60" s="1"/>
  <c r="E121" i="9"/>
  <c r="E4" i="52" s="1"/>
  <c r="B38" i="60" s="1"/>
  <c r="D7" i="50" l="1"/>
  <c r="D28" i="50"/>
  <c r="D29" i="50" s="1"/>
  <c r="F14" i="62"/>
  <c r="E14" i="62"/>
  <c r="B5" i="62"/>
  <c r="C81" i="57"/>
  <c r="C82" i="57" s="1"/>
  <c r="E82" i="57" s="1"/>
  <c r="E83" i="57" s="1"/>
  <c r="C97" i="57"/>
  <c r="C98" i="57" s="1"/>
  <c r="E98" i="57" s="1"/>
  <c r="E99" i="57" s="1"/>
  <c r="D130" i="57"/>
  <c r="M68" i="57"/>
  <c r="N68" i="57" s="1"/>
  <c r="M67" i="57"/>
  <c r="N67" i="57" s="1"/>
  <c r="M65" i="57"/>
  <c r="N65" i="57" s="1"/>
  <c r="M66" i="57"/>
  <c r="N66" i="57" s="1"/>
  <c r="M70" i="57"/>
  <c r="N70" i="57" s="1"/>
  <c r="M69" i="57"/>
  <c r="N69" i="57" s="1"/>
  <c r="C99" i="57"/>
  <c r="D60" i="57" s="1"/>
  <c r="D58" i="57" s="1"/>
  <c r="N56" i="57" s="1"/>
  <c r="O59" i="57" s="1"/>
  <c r="O60" i="57" s="1"/>
  <c r="I103" i="9"/>
  <c r="D107" i="9"/>
  <c r="D113" i="9" s="1"/>
  <c r="C104" i="9"/>
  <c r="D117" i="9"/>
  <c r="I110" i="9"/>
  <c r="D45" i="9"/>
  <c r="N48" i="9"/>
  <c r="I115" i="9" l="1"/>
  <c r="D23" i="50" s="1"/>
  <c r="B34" i="60" s="1"/>
  <c r="D44" i="50"/>
  <c r="I111" i="9"/>
  <c r="D38" i="50"/>
  <c r="B62" i="60" s="1"/>
  <c r="D15" i="50"/>
  <c r="D36" i="50"/>
  <c r="D37" i="50" s="1"/>
  <c r="D30" i="50"/>
  <c r="D9" i="50"/>
  <c r="B21" i="60" s="1"/>
  <c r="B19" i="60"/>
  <c r="D8" i="50"/>
  <c r="B22" i="60" s="1"/>
  <c r="C83" i="57"/>
  <c r="C5" i="62"/>
  <c r="D5" i="62"/>
  <c r="N71" i="57"/>
  <c r="O71" i="57" s="1"/>
  <c r="D10" i="52"/>
  <c r="Q59" i="57"/>
  <c r="O61" i="57"/>
  <c r="O63" i="57" s="1"/>
  <c r="D125" i="9"/>
  <c r="N49" i="9"/>
  <c r="C93" i="9"/>
  <c r="C86" i="9" s="1"/>
  <c r="D53" i="9"/>
  <c r="D48" i="9" s="1"/>
  <c r="N52" i="9" s="1"/>
  <c r="O57" i="9" s="1"/>
  <c r="C72" i="9"/>
  <c r="C78" i="9"/>
  <c r="C73" i="9" s="1"/>
  <c r="C64" i="9"/>
  <c r="C63" i="9" s="1"/>
  <c r="C67" i="9" s="1"/>
  <c r="C68" i="9" s="1"/>
  <c r="D54" i="9" s="1"/>
  <c r="D52" i="9"/>
  <c r="C85" i="9"/>
  <c r="G14" i="62" l="1"/>
  <c r="B6" i="62" s="1"/>
  <c r="C6" i="62" s="1"/>
  <c r="D8" i="52"/>
  <c r="D16" i="50"/>
  <c r="B30" i="60" s="1"/>
  <c r="B29" i="60"/>
  <c r="D126" i="9"/>
  <c r="D9" i="52" s="1"/>
  <c r="D17" i="50"/>
  <c r="D6" i="62"/>
  <c r="O62" i="57"/>
  <c r="C95" i="9"/>
  <c r="C96" i="9" s="1"/>
  <c r="E96" i="9" s="1"/>
  <c r="E97" i="9" s="1"/>
  <c r="Q57" i="9"/>
  <c r="O58" i="9"/>
  <c r="M68" i="9"/>
  <c r="N68" i="9" s="1"/>
  <c r="M66" i="9"/>
  <c r="N66" i="9" s="1"/>
  <c r="M67" i="9"/>
  <c r="N67" i="9" s="1"/>
  <c r="M63" i="9"/>
  <c r="N63" i="9" s="1"/>
  <c r="O59" i="9"/>
  <c r="M64" i="9"/>
  <c r="N64" i="9" s="1"/>
  <c r="M65" i="9"/>
  <c r="N65" i="9" s="1"/>
  <c r="C97" i="9"/>
  <c r="D58" i="9" s="1"/>
  <c r="C79" i="9"/>
  <c r="N69" i="9" l="1"/>
  <c r="O69" i="9" s="1"/>
  <c r="C80" i="9"/>
  <c r="E80" i="9" s="1"/>
  <c r="E81" i="9" s="1"/>
  <c r="O61" i="9"/>
  <c r="O60"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<sst xmlns="http://schemas.openxmlformats.org/spreadsheetml/2006/main" count="6934" uniqueCount="3067">
  <si>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</si>
  <si>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</si>
  <si>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</si>
  <si>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</si>
  <si>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</si>
  <si>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</si>
  <si>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</si>
  <si>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</si>
  <si>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</si>
  <si>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</si>
  <si>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</si>
  <si>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</si>
  <si>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</si>
  <si>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</si>
  <si>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</si>
  <si>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</si>
  <si>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</si>
  <si>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</si>
  <si>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</si>
  <si>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</si>
  <si>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</si>
  <si>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</si>
  <si>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</si>
  <si>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</si>
  <si>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</si>
  <si>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</si>
  <si>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</si>
  <si>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</si>
  <si>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</si>
  <si>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</si>
  <si>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</si>
  <si>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</si>
  <si>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</si>
  <si>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</si>
  <si>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</si>
  <si>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</si>
  <si>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</si>
  <si>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</si>
  <si>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</si>
  <si>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</si>
  <si>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</si>
  <si>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</si>
  <si>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</si>
  <si>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</si>
  <si>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</si>
  <si>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</si>
  <si>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</si>
  <si>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</si>
  <si>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</si>
  <si>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</si>
  <si>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</si>
  <si>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</si>
  <si>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</si>
  <si>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</si>
  <si>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</si>
  <si>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</si>
  <si>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</si>
  <si>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</si>
  <si>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</si>
  <si>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</si>
  <si>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</si>
  <si>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</si>
  <si>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</si>
  <si>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</si>
  <si>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</si>
  <si>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</si>
  <si>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</si>
  <si>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</si>
  <si>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</si>
  <si>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</si>
  <si>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</si>
  <si>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</si>
  <si>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</si>
  <si>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</si>
  <si>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</si>
  <si>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</si>
  <si>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</si>
  <si>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</si>
  <si>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</si>
  <si>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</si>
  <si>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</si>
  <si>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</si>
  <si>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</si>
  <si>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</si>
  <si>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</si>
  <si>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</si>
  <si>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</si>
  <si>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</si>
  <si>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</si>
  <si>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</si>
  <si>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</si>
  <si>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</si>
  <si>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</si>
  <si>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</si>
  <si>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</si>
  <si>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</si>
  <si>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</si>
  <si>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</si>
  <si>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</si>
  <si>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</si>
  <si>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</si>
  <si>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</si>
  <si>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</si>
  <si>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</si>
  <si>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</si>
  <si>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</si>
  <si>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</si>
  <si>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</si>
  <si>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</si>
  <si>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</si>
  <si>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</si>
  <si>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</si>
  <si>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</si>
  <si>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</si>
  <si>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</si>
  <si>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</si>
  <si>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</si>
  <si>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</si>
  <si>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</si>
  <si>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</si>
  <si>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</si>
  <si>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</si>
  <si>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</si>
  <si>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</si>
  <si>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</si>
  <si>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</si>
  <si>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</si>
  <si>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</si>
  <si>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</si>
  <si>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</si>
  <si>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</si>
  <si>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</si>
  <si>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</si>
  <si>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</si>
  <si>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</si>
  <si>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</si>
  <si>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</si>
  <si>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</si>
  <si>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</si>
  <si>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</si>
  <si>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</si>
  <si>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</si>
  <si>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</si>
  <si>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</si>
  <si>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</si>
  <si>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</si>
  <si>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</si>
  <si>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</si>
  <si>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</si>
  <si>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</si>
  <si>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</si>
  <si>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</si>
  <si>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</si>
  <si>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</si>
  <si>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</si>
  <si>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</si>
  <si>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</si>
  <si>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</si>
  <si>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</si>
  <si>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</si>
  <si>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</si>
  <si>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</si>
  <si>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</si>
  <si>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</si>
  <si>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</si>
  <si>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</si>
  <si>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</si>
  <si>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</si>
  <si>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</si>
  <si>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</si>
  <si>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</si>
  <si>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</si>
  <si>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</si>
  <si>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</si>
  <si>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</si>
  <si>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</si>
  <si>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</si>
  <si>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</si>
  <si>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</si>
  <si>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</si>
  <si>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</si>
  <si>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</si>
  <si>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</si>
  <si>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</si>
  <si>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</si>
  <si>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</si>
  <si>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</si>
  <si>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</si>
  <si>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</si>
  <si>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</si>
  <si>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</si>
  <si>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</si>
  <si>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</si>
  <si>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</si>
  <si>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</si>
  <si>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</si>
  <si>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</si>
  <si>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</si>
  <si>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</si>
  <si>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</si>
  <si>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</si>
  <si>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</si>
  <si>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</si>
  <si>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</si>
  <si>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</si>
  <si>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</si>
  <si>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</si>
  <si>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</si>
  <si>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</si>
  <si>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</si>
  <si>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</si>
  <si>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</si>
  <si>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</si>
  <si>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</si>
  <si>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</si>
  <si>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</si>
  <si>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</si>
  <si>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</si>
  <si>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</si>
  <si>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</si>
  <si>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</si>
  <si>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</si>
  <si>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</si>
  <si>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</si>
  <si>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</si>
  <si>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</si>
  <si>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</si>
  <si>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</si>
  <si>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</si>
  <si>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</si>
  <si>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</si>
  <si>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</si>
  <si>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</si>
  <si>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</si>
  <si>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</si>
  <si>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</si>
  <si>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</si>
  <si>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</si>
  <si>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</si>
  <si>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</si>
  <si>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</si>
  <si>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</si>
  <si>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</si>
  <si>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</si>
  <si>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</si>
  <si>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</si>
  <si>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</si>
  <si>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</si>
  <si>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</si>
  <si>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</si>
  <si>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</si>
  <si>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</si>
  <si>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</si>
  <si>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</si>
  <si>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</si>
  <si>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</si>
  <si>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</si>
  <si>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</si>
  <si>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</si>
  <si>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</si>
  <si>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</si>
  <si>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</si>
  <si>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</si>
  <si>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</si>
  <si>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</si>
  <si>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</si>
  <si>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</si>
  <si>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</si>
  <si>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</si>
  <si>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</si>
  <si>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</si>
  <si>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</si>
  <si>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</si>
  <si>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</si>
  <si>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</si>
  <si>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</si>
  <si>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</si>
  <si>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</si>
  <si>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</si>
  <si>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</si>
  <si>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</si>
  <si>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</si>
  <si>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</si>
  <si>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</si>
  <si>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</si>
  <si>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</si>
  <si>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</si>
  <si>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</si>
  <si>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</si>
  <si>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</si>
  <si>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</si>
  <si>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</si>
  <si>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</si>
  <si>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</si>
  <si>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</si>
  <si>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</si>
  <si>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</si>
  <si>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</si>
  <si>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</si>
  <si>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</si>
  <si>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</si>
  <si>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</si>
  <si>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</si>
  <si>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</si>
  <si>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</si>
  <si>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</si>
  <si>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</si>
  <si>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</si>
  <si>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</si>
  <si>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</si>
  <si>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</si>
  <si>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</si>
  <si>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</si>
  <si>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</si>
  <si>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</si>
  <si>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</si>
  <si>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</si>
  <si>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</si>
  <si>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</si>
  <si>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</si>
  <si>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</si>
  <si>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</si>
  <si>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</si>
  <si>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</si>
  <si>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</si>
  <si>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</si>
  <si>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</si>
  <si>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</si>
  <si>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</si>
  <si>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</si>
  <si>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</si>
  <si>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</si>
  <si>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</si>
  <si>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</si>
  <si>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</si>
  <si>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</si>
  <si>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</si>
  <si>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</si>
  <si>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</si>
  <si>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</si>
  <si>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</si>
  <si>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</si>
  <si>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</si>
  <si>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</si>
  <si>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</si>
  <si>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</si>
  <si>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</si>
  <si>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</si>
  <si>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</si>
  <si>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</si>
  <si>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</si>
  <si>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</si>
  <si>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</si>
  <si>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</si>
  <si>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</si>
  <si>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</si>
  <si>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</si>
  <si>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</si>
  <si>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</si>
  <si>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</si>
  <si>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</si>
  <si>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</si>
  <si>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</si>
  <si>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</si>
  <si>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</si>
  <si>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</si>
  <si>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</si>
  <si>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</si>
  <si>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</si>
  <si>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</si>
  <si>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</si>
  <si>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</si>
  <si>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</si>
  <si>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</si>
  <si>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</si>
  <si>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</si>
  <si>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</si>
  <si>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</si>
  <si>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</si>
  <si>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</si>
  <si>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</si>
  <si>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</si>
  <si>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</si>
  <si>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</si>
  <si>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</si>
  <si>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</si>
  <si>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</si>
  <si>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</si>
  <si>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</si>
  <si>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</si>
  <si>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</si>
  <si>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</si>
  <si>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</si>
  <si>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</si>
  <si>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</si>
  <si>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</si>
  <si>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</si>
  <si>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</si>
  <si>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</si>
  <si>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</si>
  <si>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</si>
  <si>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</si>
  <si>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</si>
  <si>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</si>
  <si>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</si>
  <si>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</si>
  <si>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</si>
  <si>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</si>
  <si>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</si>
  <si>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</si>
  <si>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</si>
  <si>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</si>
  <si>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</si>
  <si>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</si>
  <si>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</si>
  <si>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</si>
  <si>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</si>
  <si>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</si>
  <si>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</si>
  <si>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</si>
  <si>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</si>
  <si>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</si>
  <si>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</si>
  <si>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</si>
  <si>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</si>
  <si>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</si>
  <si>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</si>
  <si>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</si>
  <si>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</si>
  <si>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</si>
  <si>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</si>
  <si>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</si>
  <si>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</si>
  <si>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</si>
  <si>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</si>
  <si>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</si>
  <si>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</si>
  <si>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</si>
  <si>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</si>
  <si>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</si>
  <si>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</si>
  <si>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</si>
  <si>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</si>
  <si>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</si>
  <si>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</si>
  <si>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</si>
  <si>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</si>
  <si>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</si>
  <si>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</si>
  <si>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</si>
  <si>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</si>
  <si>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</si>
  <si>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</si>
  <si>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</si>
  <si>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</si>
  <si>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</si>
  <si>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</si>
  <si>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</si>
  <si>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</si>
  <si>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</si>
  <si>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</si>
  <si>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</si>
  <si>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</si>
  <si>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</si>
  <si>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</si>
  <si>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</si>
  <si>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</si>
  <si>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</si>
  <si>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</si>
  <si>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</si>
  <si>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</si>
  <si>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</si>
  <si>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</si>
  <si>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</si>
  <si>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</si>
  <si>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</si>
  <si>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</si>
  <si>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</si>
  <si>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</si>
  <si>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</si>
  <si>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</si>
  <si>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</si>
  <si>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</si>
  <si>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</si>
  <si>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</si>
  <si>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</si>
  <si>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</si>
  <si>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</si>
  <si>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</si>
  <si>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</si>
  <si>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</si>
  <si>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</si>
  <si>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</si>
  <si>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</si>
  <si>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</si>
  <si>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</si>
  <si>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</si>
  <si>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</si>
  <si>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</si>
  <si>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</si>
  <si>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</si>
  <si>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</si>
  <si>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</si>
  <si>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</si>
  <si>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</si>
  <si>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</si>
  <si>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</si>
  <si>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</si>
  <si>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</si>
  <si>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</si>
  <si>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</si>
  <si>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</si>
  <si>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</si>
  <si>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</si>
  <si>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</si>
  <si>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</si>
  <si>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</si>
  <si>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</si>
  <si>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</si>
  <si>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</si>
  <si>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</si>
  <si>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</si>
  <si>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</si>
  <si>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</si>
  <si>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</si>
  <si>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</si>
  <si>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</si>
  <si>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</si>
  <si>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</si>
  <si>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</si>
  <si>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</si>
  <si>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</si>
  <si>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</si>
  <si>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</si>
  <si>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</si>
  <si>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</si>
  <si>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</si>
  <si>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</si>
  <si>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</si>
  <si>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</si>
  <si>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</si>
  <si>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</si>
  <si>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</si>
  <si>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</si>
  <si>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</si>
  <si>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</si>
  <si>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</si>
  <si>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</si>
  <si>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</si>
  <si>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</si>
  <si>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</si>
  <si>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</si>
  <si>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</si>
  <si>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</si>
  <si>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</si>
  <si>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</si>
  <si>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</si>
  <si>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</si>
  <si>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</si>
  <si>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</si>
  <si>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</si>
  <si>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</si>
  <si>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</si>
  <si>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</si>
  <si>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</si>
  <si>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</si>
  <si>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</si>
  <si>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</si>
  <si>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</si>
  <si>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</si>
  <si>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</si>
  <si>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</si>
  <si>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</si>
  <si>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</si>
  <si>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</si>
  <si>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</si>
  <si>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</si>
  <si>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</si>
  <si>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</si>
  <si>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</si>
  <si>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</si>
  <si>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</si>
  <si>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</si>
  <si>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</si>
  <si>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</si>
  <si>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</si>
  <si>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</si>
  <si>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</si>
  <si>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</si>
  <si>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</si>
  <si>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</si>
  <si>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</si>
  <si>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</si>
  <si>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</si>
  <si>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</si>
  <si>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</si>
  <si>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</si>
  <si>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</si>
  <si>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</si>
  <si>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</si>
  <si>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</si>
  <si>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</si>
  <si>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</si>
  <si>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</si>
  <si>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</si>
  <si>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</si>
  <si>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</si>
  <si>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</si>
  <si>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</si>
  <si>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</si>
  <si>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</si>
  <si>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</si>
  <si>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</si>
  <si>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</si>
  <si>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</si>
  <si>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</si>
  <si>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</si>
  <si>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</si>
  <si>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</si>
  <si>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</si>
  <si>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</si>
  <si>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</si>
  <si>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</si>
  <si>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</si>
  <si>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</si>
  <si>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</si>
  <si>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</si>
  <si>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</si>
  <si>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</si>
  <si>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</si>
  <si>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</si>
  <si>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</si>
  <si>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</si>
  <si>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</si>
  <si>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</si>
  <si>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</si>
  <si>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</si>
  <si>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</si>
  <si>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</si>
  <si>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</si>
  <si>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</si>
  <si>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</si>
  <si>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</si>
  <si>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</si>
  <si>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</si>
  <si>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</si>
  <si>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</si>
  <si>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</si>
  <si>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</si>
  <si>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</si>
  <si>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</si>
  <si>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</si>
  <si>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</si>
  <si>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</si>
  <si>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</si>
  <si>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</si>
  <si>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</si>
  <si>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</si>
  <si>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</si>
  <si>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</si>
  <si>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</si>
  <si>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</si>
  <si>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</si>
  <si>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</si>
  <si>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</si>
  <si>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</si>
  <si>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</si>
  <si>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</si>
  <si>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</si>
  <si>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</si>
  <si>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</si>
  <si>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</si>
  <si>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</si>
  <si>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</si>
  <si>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</si>
  <si>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</si>
  <si>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</si>
  <si>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</si>
  <si>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</si>
  <si>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</si>
  <si>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</si>
  <si>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</si>
  <si>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</si>
  <si>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</si>
  <si>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</si>
  <si>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</si>
  <si>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</si>
  <si>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</si>
  <si>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</si>
  <si>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</si>
  <si>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</si>
  <si>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</si>
  <si>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</si>
  <si>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</si>
  <si>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</si>
  <si>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</si>
  <si>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</si>
  <si>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</si>
  <si>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</si>
  <si>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</si>
  <si>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</si>
  <si>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</si>
  <si>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</si>
  <si>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</si>
  <si>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</si>
  <si>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</si>
  <si>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</si>
  <si>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</si>
  <si>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</si>
  <si>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</si>
  <si>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</si>
  <si>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</si>
  <si>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</si>
  <si>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</si>
  <si>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</si>
  <si>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</si>
  <si>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</si>
  <si>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</si>
  <si>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</si>
  <si>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</si>
  <si>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</si>
  <si>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</si>
  <si>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</si>
  <si>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</si>
  <si>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</si>
  <si>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</si>
  <si>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</si>
  <si>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</si>
  <si>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</si>
  <si>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</si>
  <si>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</si>
  <si>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</si>
  <si>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</si>
  <si>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</si>
  <si>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</si>
  <si>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</si>
  <si>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</si>
  <si>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</si>
  <si>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</si>
  <si>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</si>
  <si>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</si>
  <si>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</si>
  <si>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</si>
  <si>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</si>
  <si>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</si>
  <si>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</si>
  <si>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</si>
  <si>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</si>
  <si>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</si>
  <si>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</si>
  <si>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</si>
  <si>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</si>
  <si>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</si>
  <si>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</si>
  <si>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</si>
  <si>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</si>
  <si>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</si>
  <si>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</si>
  <si>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</si>
  <si>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</si>
  <si>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</si>
  <si>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</si>
  <si>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</si>
  <si>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</si>
  <si>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</si>
  <si>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</si>
  <si>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</si>
  <si>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</si>
  <si>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</si>
  <si>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</si>
  <si>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</si>
  <si>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</si>
  <si>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</si>
  <si>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</si>
  <si>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</si>
  <si>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</si>
  <si>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</si>
  <si>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</si>
  <si>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</si>
  <si>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</si>
  <si>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</si>
  <si>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</si>
  <si>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</si>
  <si>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</si>
  <si>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</si>
  <si>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</si>
  <si>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</si>
  <si>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</si>
  <si>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</si>
  <si>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</si>
  <si>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</si>
  <si>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</si>
  <si>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</si>
  <si>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</si>
  <si>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</si>
  <si>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</si>
  <si>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</si>
  <si>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</si>
  <si>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</si>
  <si>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</si>
  <si>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</si>
  <si>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</si>
  <si>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</si>
  <si>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</si>
  <si>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</si>
  <si>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</si>
  <si>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</si>
  <si>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</si>
  <si>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</si>
  <si>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</si>
  <si>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</si>
  <si>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</si>
  <si>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</si>
  <si>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</si>
  <si>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</si>
  <si>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</si>
  <si>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</si>
  <si>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</si>
  <si>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</si>
  <si>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</si>
  <si>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</si>
  <si>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</si>
  <si>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</si>
  <si>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</si>
  <si>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</si>
  <si>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</si>
  <si>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</si>
  <si>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</si>
  <si>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</si>
  <si>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</si>
  <si>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</si>
  <si>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</si>
  <si>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</si>
  <si>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</si>
  <si>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</si>
  <si>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</si>
  <si>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</si>
  <si>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</si>
  <si>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</si>
  <si>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</si>
  <si>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</si>
  <si>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</si>
  <si>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</si>
  <si>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</si>
  <si>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</si>
  <si>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</si>
  <si>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</si>
  <si>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</si>
  <si>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</si>
  <si>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</si>
  <si>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</si>
  <si>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</si>
  <si>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</si>
  <si>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</si>
  <si>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</si>
  <si>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</si>
  <si>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</si>
  <si>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</si>
  <si>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</si>
  <si>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</si>
  <si>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</si>
  <si>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</si>
  <si>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</si>
  <si>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</si>
  <si>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</si>
  <si>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</si>
  <si>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</si>
  <si>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</si>
  <si>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</si>
  <si>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</si>
  <si>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</si>
  <si>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</si>
  <si>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</si>
  <si>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</si>
  <si>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</si>
  <si>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</si>
  <si>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</si>
  <si>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</si>
  <si>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</si>
  <si>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</si>
  <si>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</si>
  <si>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</si>
  <si>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</si>
  <si>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</si>
  <si>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</si>
  <si>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</si>
  <si>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</si>
  <si>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</si>
  <si>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</si>
  <si>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</si>
  <si>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</si>
  <si>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</si>
  <si>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</si>
  <si>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</si>
  <si>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</si>
  <si>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</si>
  <si>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</si>
  <si>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</si>
  <si>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</si>
  <si>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</si>
  <si>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</si>
  <si>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</si>
  <si>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</si>
  <si>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</si>
  <si>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</si>
  <si>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</si>
  <si>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</si>
  <si>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</si>
  <si>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</si>
  <si>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</si>
  <si>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</si>
  <si>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</si>
  <si>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</si>
  <si>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</si>
  <si>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</si>
  <si>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</si>
  <si>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</si>
  <si>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</si>
  <si>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</si>
  <si>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</si>
  <si>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</si>
  <si>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</si>
  <si>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</si>
  <si>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</si>
  <si>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</si>
  <si>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</si>
  <si>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</si>
  <si>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</si>
  <si>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</si>
  <si>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</si>
  <si>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</si>
  <si>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</si>
  <si>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</si>
  <si>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</si>
  <si>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</si>
  <si>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</si>
  <si>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</si>
  <si>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</si>
  <si>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</si>
  <si>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</si>
  <si>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</si>
  <si>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</si>
  <si>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</si>
  <si>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</si>
  <si>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</si>
  <si>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</si>
  <si>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</si>
  <si>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</si>
  <si>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</si>
  <si>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</si>
  <si>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</si>
  <si>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</si>
  <si>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</si>
  <si>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</si>
  <si>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</si>
  <si>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</si>
  <si>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</si>
  <si>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</si>
  <si>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</si>
  <si>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</si>
  <si>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</si>
  <si>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</si>
  <si>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</si>
  <si>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</si>
  <si>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</si>
  <si>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</si>
  <si>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</si>
  <si>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</si>
  <si>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</si>
  <si>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</si>
  <si>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</si>
  <si>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</si>
  <si>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</si>
  <si>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</si>
  <si>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</si>
  <si>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</si>
  <si>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</si>
  <si>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</si>
  <si>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</si>
  <si>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</si>
  <si>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</si>
  <si>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</si>
  <si>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</si>
  <si>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</si>
  <si>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</si>
  <si>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</si>
  <si>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</si>
  <si>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</si>
  <si>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</si>
  <si>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</si>
  <si>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</si>
  <si>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</si>
  <si>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</si>
  <si>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</si>
  <si>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</si>
  <si>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</si>
  <si>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</si>
  <si>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</si>
  <si>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</si>
  <si>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</si>
  <si>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</si>
  <si>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</si>
  <si>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</si>
  <si>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</si>
  <si>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</si>
  <si>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</si>
  <si>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</si>
  <si>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</si>
  <si>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</si>
  <si>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</si>
  <si>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</si>
  <si>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</si>
  <si>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</si>
  <si>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</si>
  <si>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</si>
  <si>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</si>
  <si>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</si>
  <si>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</si>
  <si>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</si>
  <si>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</si>
  <si>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</si>
  <si>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</si>
  <si>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</si>
  <si>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</si>
  <si>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</si>
  <si>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</si>
  <si>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</si>
  <si>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</si>
  <si>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</si>
  <si>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</si>
  <si>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</si>
  <si>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</si>
  <si>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</si>
  <si>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</si>
  <si>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</si>
  <si>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</si>
  <si>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</si>
  <si>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</si>
  <si>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</si>
  <si>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</si>
  <si>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</si>
  <si>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</si>
  <si>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</si>
  <si>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</si>
  <si>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</si>
  <si>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</si>
  <si>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</si>
  <si>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</si>
  <si>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</si>
  <si>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</si>
  <si>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</si>
  <si>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</si>
  <si>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</si>
  <si>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</si>
  <si>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</si>
  <si>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</si>
  <si>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</si>
  <si>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</si>
  <si>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</si>
  <si>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</si>
  <si>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</si>
  <si>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</si>
  <si>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</si>
  <si>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</si>
  <si>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</si>
  <si>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</si>
  <si>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</si>
  <si>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</si>
  <si>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</si>
  <si>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</si>
  <si>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</si>
  <si>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</si>
  <si>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</si>
  <si>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</si>
  <si>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</si>
  <si>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</si>
  <si>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</si>
  <si>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</si>
  <si>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</si>
  <si>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</si>
  <si>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</si>
  <si>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</si>
  <si>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</si>
  <si>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</si>
  <si>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</si>
  <si>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</si>
  <si>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</si>
  <si>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</si>
  <si>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</si>
  <si>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</si>
  <si>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</si>
  <si>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</si>
  <si>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</si>
  <si>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</si>
  <si>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</si>
  <si>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</si>
  <si>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</si>
  <si>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</si>
  <si>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</si>
  <si>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</si>
  <si>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</si>
  <si>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</si>
  <si>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</si>
  <si>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</si>
  <si>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</si>
  <si>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</si>
  <si>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</si>
  <si>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</si>
  <si>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</si>
  <si>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</si>
  <si>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</si>
  <si>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</si>
  <si>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</si>
  <si>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</si>
  <si>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</si>
  <si>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</si>
  <si>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</si>
  <si>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</si>
  <si>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</si>
  <si>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</si>
  <si>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</si>
  <si>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</si>
  <si>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</si>
  <si>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</si>
  <si>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</si>
  <si>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</si>
  <si>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</si>
  <si>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</si>
  <si>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</si>
  <si>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</si>
  <si>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</si>
  <si>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</si>
  <si>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</si>
  <si>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</si>
  <si>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</si>
  <si>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</si>
  <si>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</si>
  <si>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</si>
  <si>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</si>
  <si>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</si>
  <si>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</si>
  <si>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</si>
  <si>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</si>
  <si>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</si>
  <si>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</si>
  <si>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</si>
  <si>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</si>
  <si>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</si>
  <si>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</si>
  <si>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</si>
  <si>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</si>
  <si>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</si>
  <si>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</si>
  <si>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</si>
  <si>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</si>
  <si>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</si>
  <si>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</si>
  <si>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</si>
  <si>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</si>
  <si>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</si>
  <si>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</si>
  <si>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</si>
  <si>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</si>
  <si>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</si>
  <si>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</si>
  <si>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</si>
  <si>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</si>
  <si>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</si>
  <si>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</si>
  <si>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</si>
  <si>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</si>
  <si>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</si>
  <si>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</si>
  <si>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</si>
  <si>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</si>
  <si>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</si>
  <si>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</si>
  <si>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</si>
  <si>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</si>
  <si>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</si>
  <si>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</si>
  <si>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</si>
  <si>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</si>
  <si>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</si>
  <si>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</si>
  <si>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</si>
  <si>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</si>
  <si>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</si>
  <si>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</si>
  <si>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</si>
  <si>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</si>
  <si>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</si>
  <si>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</si>
  <si>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</si>
  <si>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</si>
  <si>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</si>
  <si>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</si>
  <si>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</si>
  <si>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</si>
  <si>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</si>
  <si>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</si>
  <si>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</si>
  <si>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</si>
  <si>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</si>
  <si>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</si>
  <si>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</si>
  <si>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</si>
  <si>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</si>
  <si>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</si>
  <si>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</si>
  <si>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</si>
  <si>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</si>
  <si>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</si>
  <si>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</si>
  <si>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</si>
  <si>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</si>
  <si>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</si>
  <si>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</si>
  <si>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</si>
  <si>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</si>
  <si>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</si>
  <si>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</si>
  <si>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</si>
  <si>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</si>
  <si>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</si>
  <si>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</si>
  <si>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</si>
  <si>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</si>
  <si>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</si>
  <si>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</si>
  <si>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</si>
  <si>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</si>
  <si>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</si>
  <si>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</si>
  <si>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</si>
  <si>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</si>
  <si>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</si>
  <si>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</si>
  <si>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</si>
  <si>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</si>
  <si>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</si>
  <si>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</si>
  <si>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</si>
  <si>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</si>
  <si>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</si>
  <si>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</si>
  <si>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</si>
  <si>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</si>
  <si>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</si>
  <si>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</si>
  <si>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</si>
  <si>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</si>
  <si>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</si>
  <si>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</si>
  <si>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</si>
  <si>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</si>
  <si>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</si>
  <si>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</si>
  <si>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</si>
  <si>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</si>
  <si>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</si>
  <si>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</si>
  <si>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</si>
  <si>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</si>
  <si>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</si>
  <si>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</si>
  <si>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</si>
  <si>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</si>
  <si>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</si>
  <si>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</si>
  <si>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</si>
  <si>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</si>
  <si>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</si>
  <si>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</si>
  <si>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</si>
  <si>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</si>
  <si>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</si>
  <si>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</si>
  <si>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</si>
  <si>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</si>
  <si>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</si>
  <si>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</si>
  <si>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</si>
  <si>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</si>
  <si>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</si>
  <si>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</si>
  <si>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</si>
  <si>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</si>
  <si>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</si>
  <si>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</si>
  <si>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</si>
  <si>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</si>
  <si>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</si>
  <si>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</si>
  <si>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</si>
  <si>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</si>
  <si>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</si>
  <si>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</si>
  <si>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</si>
  <si>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</si>
  <si>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</si>
  <si>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</si>
  <si>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</si>
  <si>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</si>
  <si>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</si>
  <si>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</si>
  <si>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</si>
  <si>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</si>
  <si>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</si>
  <si>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</si>
  <si>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</si>
  <si>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</si>
  <si>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</si>
  <si>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</si>
  <si>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</si>
  <si>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</si>
  <si>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</si>
  <si>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</si>
  <si>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</si>
  <si>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</si>
  <si>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</si>
  <si>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</si>
  <si>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</si>
  <si>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</si>
  <si>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</si>
  <si>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</si>
  <si>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</si>
  <si>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</si>
  <si>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</si>
  <si>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</si>
  <si>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</si>
  <si>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</si>
  <si>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</si>
  <si>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</si>
  <si>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</si>
  <si>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</si>
  <si>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</si>
  <si>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</si>
  <si>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</si>
  <si>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</si>
  <si>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</si>
  <si>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</si>
  <si>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</si>
  <si>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</si>
  <si>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</si>
  <si>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</si>
  <si>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</si>
  <si>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</si>
  <si>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</si>
  <si>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</si>
  <si>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</si>
  <si>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</si>
  <si>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</si>
  <si>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</si>
  <si>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</si>
  <si>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</si>
  <si>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</si>
  <si>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</si>
  <si>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</si>
  <si>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</si>
  <si>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</si>
  <si>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</si>
  <si>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</si>
  <si>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</si>
  <si>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</si>
  <si>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</si>
  <si>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</si>
  <si>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</si>
  <si>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</si>
  <si>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</si>
  <si>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</si>
  <si>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</si>
  <si>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</si>
  <si>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</si>
  <si>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</si>
  <si>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</si>
  <si>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</si>
  <si>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</si>
  <si>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</si>
  <si>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</si>
  <si>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</si>
  <si>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</si>
  <si>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</si>
  <si>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</si>
  <si>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</si>
  <si>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</si>
  <si>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</si>
  <si>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</si>
  <si>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</si>
  <si>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</si>
  <si>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</si>
  <si>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</si>
  <si>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</si>
  <si>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</si>
  <si>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</si>
  <si>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</si>
  <si>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</si>
  <si>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</si>
  <si>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</si>
  <si>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</si>
  <si>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</si>
  <si>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</si>
  <si>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</si>
  <si>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</si>
  <si>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</si>
  <si>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</si>
  <si>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</si>
  <si>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</si>
  <si>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</si>
  <si>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</si>
  <si>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</si>
  <si>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</si>
  <si>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</si>
  <si>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</si>
  <si>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</si>
  <si>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</si>
  <si>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</si>
  <si>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</si>
  <si>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</si>
  <si>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</si>
  <si>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</si>
  <si>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</si>
  <si>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</si>
  <si>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</si>
  <si>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</si>
  <si>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</si>
  <si>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</si>
  <si>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</si>
  <si>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</si>
  <si>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</si>
  <si>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</si>
  <si>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</si>
  <si>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</si>
  <si>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</si>
  <si>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</si>
  <si>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</si>
  <si>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</si>
  <si>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</si>
  <si>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</si>
  <si>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</si>
  <si>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</si>
  <si>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</si>
  <si>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</si>
  <si>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</si>
  <si>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</si>
  <si>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</si>
  <si>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</si>
  <si>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</si>
  <si>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</si>
  <si>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</si>
  <si>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</si>
  <si>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</si>
  <si>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</si>
  <si>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</si>
  <si>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</si>
  <si>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</si>
  <si>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</si>
  <si>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</si>
  <si>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</si>
  <si>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</si>
  <si>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</si>
  <si>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</si>
  <si>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</si>
  <si>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</si>
  <si>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</si>
  <si>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</si>
  <si>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</si>
  <si>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</si>
  <si>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</si>
  <si>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</si>
  <si>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</si>
  <si>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</si>
  <si>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</si>
  <si>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</si>
  <si>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</si>
  <si>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</si>
  <si>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</si>
  <si>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</si>
  <si>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</si>
  <si>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</si>
  <si>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</si>
  <si>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</si>
  <si>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</si>
  <si>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</si>
  <si>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</si>
  <si>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</si>
  <si>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</si>
  <si>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</si>
  <si>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</si>
  <si>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</si>
  <si>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</si>
  <si>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</si>
  <si>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</si>
  <si>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</si>
  <si>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</si>
  <si>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</si>
  <si>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</si>
  <si>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</si>
  <si>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</si>
  <si>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</si>
  <si>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</si>
  <si>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</si>
  <si>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</si>
  <si>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</si>
  <si>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</si>
  <si>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</si>
  <si>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</si>
  <si>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</si>
  <si>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</si>
  <si>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</si>
  <si>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</si>
  <si>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</si>
  <si>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</si>
  <si>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</si>
  <si>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</si>
  <si>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</si>
  <si>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</si>
  <si>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</si>
  <si>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</si>
  <si>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</si>
  <si>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</si>
  <si>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</si>
  <si>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</si>
  <si>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</si>
  <si>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</si>
  <si>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</si>
  <si>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</si>
  <si>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</si>
  <si>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</si>
  <si>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</si>
  <si>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</si>
  <si>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</si>
  <si>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</si>
  <si>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</si>
  <si>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</si>
  <si>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</si>
  <si>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</si>
  <si>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</si>
  <si>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</si>
  <si>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</si>
  <si>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</si>
  <si>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</si>
  <si>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</si>
  <si>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</si>
  <si>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</si>
  <si>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</si>
  <si>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</si>
  <si>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</si>
  <si>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</si>
  <si>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</si>
  <si>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</si>
  <si>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</si>
  <si>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</si>
  <si>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</si>
  <si>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</si>
  <si>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</si>
  <si>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</si>
  <si>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</si>
  <si>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</si>
  <si>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</si>
  <si>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</si>
  <si>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</si>
  <si>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</si>
  <si>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</si>
  <si>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</si>
  <si>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</si>
  <si>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</si>
  <si>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</si>
  <si>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</si>
  <si>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</si>
  <si>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</si>
  <si>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</si>
  <si>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</si>
  <si>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</si>
  <si>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</si>
  <si>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</si>
  <si>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</si>
  <si>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</si>
  <si>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</si>
  <si>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</si>
  <si>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</si>
  <si>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</si>
  <si>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</si>
  <si>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</si>
  <si>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</si>
  <si>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</si>
  <si>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</si>
  <si>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</si>
  <si>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</si>
  <si>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</si>
  <si>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</si>
  <si>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</si>
  <si>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</si>
  <si>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</si>
  <si>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</si>
  <si>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</si>
  <si>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</si>
  <si>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</si>
  <si>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</si>
  <si>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</si>
  <si>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</si>
  <si>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</si>
  <si>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</si>
  <si>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</si>
  <si>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</si>
  <si>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</si>
  <si>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</si>
  <si>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</si>
  <si>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</si>
  <si>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</si>
  <si>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</si>
  <si>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</si>
  <si>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</si>
  <si>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</si>
  <si>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</si>
  <si>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</si>
  <si>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</si>
  <si>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</si>
  <si>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</si>
  <si>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</si>
  <si>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</si>
  <si>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</si>
  <si>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</si>
  <si>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</si>
  <si>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</si>
  <si>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</si>
  <si>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</si>
  <si>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</si>
  <si>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</si>
  <si>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</si>
  <si>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</si>
  <si>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</si>
  <si>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</si>
  <si>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</si>
  <si>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</si>
  <si>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</si>
  <si>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</si>
  <si>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</si>
  <si>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</si>
  <si>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</si>
  <si>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</si>
  <si>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</si>
  <si>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</si>
  <si>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</si>
  <si>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</si>
  <si>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</si>
  <si>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</si>
  <si>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</si>
  <si>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</si>
  <si>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</si>
  <si>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</si>
  <si>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</si>
  <si>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</si>
  <si>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</si>
  <si>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</si>
  <si>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</si>
  <si>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</si>
  <si>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</si>
  <si>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</si>
  <si>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</si>
  <si>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</si>
  <si>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</si>
  <si>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</si>
  <si>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</si>
  <si>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</si>
  <si>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</si>
  <si>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</si>
  <si>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</si>
  <si>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</si>
  <si>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</si>
  <si>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</si>
  <si>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</si>
  <si>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</si>
  <si>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</si>
  <si>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</si>
  <si>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</si>
  <si>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</si>
  <si>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</si>
  <si>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</si>
  <si>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</si>
  <si>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</si>
  <si>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</si>
  <si>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</si>
  <si>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</si>
  <si>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</si>
  <si>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</si>
  <si>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</si>
  <si>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</si>
  <si>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</si>
  <si>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</si>
  <si>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</si>
  <si>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</si>
  <si>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</si>
  <si>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</si>
  <si>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</si>
  <si>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</si>
  <si>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</si>
  <si>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</si>
  <si>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</si>
  <si>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</si>
  <si>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</si>
  <si>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</si>
  <si>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</si>
  <si>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</si>
  <si>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</si>
  <si>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</si>
  <si>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</si>
  <si>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</si>
  <si>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</si>
  <si>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</si>
  <si>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</si>
  <si>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</si>
  <si>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</si>
  <si>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</si>
  <si>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</si>
  <si>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</si>
  <si>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</si>
  <si>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</si>
  <si>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</si>
  <si>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</si>
  <si>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</si>
  <si>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</si>
  <si>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</si>
  <si>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</si>
  <si>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</si>
  <si>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</si>
  <si>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</si>
  <si>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</si>
  <si>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</si>
  <si>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</si>
  <si>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</si>
  <si>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</si>
  <si>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</si>
  <si>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</si>
  <si>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</si>
  <si>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</si>
  <si>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</si>
  <si>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</si>
  <si>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</si>
  <si>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</si>
  <si>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</si>
  <si>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</si>
  <si>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</si>
  <si>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</si>
  <si>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</si>
  <si>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</si>
  <si>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</si>
  <si>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</si>
  <si>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</si>
  <si>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</si>
  <si>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</si>
  <si>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</si>
  <si>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</si>
  <si>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</si>
  <si>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</si>
  <si>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</si>
  <si>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</si>
  <si>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</si>
  <si>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</si>
  <si>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</si>
  <si>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</si>
  <si>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</si>
  <si>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</si>
  <si>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</si>
  <si>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</si>
  <si>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</si>
  <si>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</si>
  <si>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</si>
  <si>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</si>
  <si>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</si>
  <si>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</si>
  <si>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</si>
  <si>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</si>
  <si>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</si>
  <si>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</si>
  <si>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</si>
  <si>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</si>
  <si>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</si>
  <si>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</si>
  <si>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</si>
  <si>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</si>
  <si>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</si>
  <si>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</si>
  <si>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</si>
  <si>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</si>
  <si>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</si>
  <si>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</si>
  <si>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</si>
  <si>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</si>
  <si>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</si>
  <si>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</si>
  <si>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</si>
  <si>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</si>
  <si>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</si>
  <si>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</si>
  <si>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</si>
  <si>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</si>
  <si>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</si>
  <si>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</si>
  <si>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</si>
  <si>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</si>
  <si>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</si>
  <si>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</si>
  <si>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</si>
  <si>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</si>
  <si>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</si>
  <si>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</si>
  <si>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</si>
  <si>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</si>
  <si>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</si>
  <si>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</si>
  <si>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</si>
  <si>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</si>
  <si>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</si>
  <si>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</si>
  <si>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</si>
  <si>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</si>
  <si>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</si>
  <si>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</si>
  <si>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</si>
  <si>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</si>
  <si>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</si>
  <si>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</si>
  <si>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</si>
  <si>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</si>
  <si>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</si>
  <si>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</si>
  <si>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</si>
  <si>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</si>
  <si>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</si>
  <si>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</si>
  <si>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</si>
  <si>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</si>
  <si>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</si>
  <si>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</si>
  <si>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</si>
  <si>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</si>
  <si>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</si>
  <si>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</si>
  <si>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</si>
  <si>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</si>
  <si>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</si>
  <si>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</si>
  <si>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</si>
  <si>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</si>
  <si>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</si>
  <si>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</si>
  <si>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</si>
  <si>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</si>
  <si>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</si>
  <si>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</si>
  <si>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</si>
  <si>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</si>
  <si>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</si>
  <si>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</si>
  <si>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</si>
  <si>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</si>
  <si>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</si>
  <si>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</si>
  <si>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</si>
  <si>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</si>
  <si>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</si>
  <si>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</si>
  <si>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</si>
  <si>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</si>
  <si>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</si>
  <si>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</si>
  <si>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</si>
  <si>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</si>
  <si>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</si>
  <si>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</si>
  <si>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</si>
  <si>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</si>
  <si>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</si>
  <si>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</si>
  <si>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</si>
  <si>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</si>
  <si>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</si>
  <si>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</si>
  <si>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</si>
  <si>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</si>
  <si>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</si>
  <si>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</si>
  <si>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</si>
  <si>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</si>
  <si>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</si>
  <si>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</si>
  <si>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</si>
  <si>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</si>
  <si>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</si>
  <si>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</si>
  <si>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</si>
  <si>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</si>
  <si>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</si>
  <si>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</si>
  <si>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</si>
  <si>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</si>
  <si>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</si>
  <si>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</si>
  <si>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</si>
  <si>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</si>
  <si>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</si>
  <si>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</si>
  <si>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</si>
  <si>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</si>
  <si>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</si>
  <si>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</si>
  <si>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</si>
  <si>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</si>
  <si>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</si>
  <si>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</si>
  <si>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</si>
  <si>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</si>
  <si>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</si>
  <si>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</si>
  <si>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</si>
  <si>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</si>
  <si>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</si>
  <si>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</si>
  <si>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</si>
  <si>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</si>
  <si>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</si>
  <si>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</si>
  <si>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</si>
  <si>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</si>
  <si>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</si>
  <si>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</si>
  <si>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</si>
  <si>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</si>
  <si>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</si>
  <si>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</si>
  <si>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</si>
  <si>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</si>
  <si>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</si>
  <si>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</si>
  <si>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</si>
  <si>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</si>
  <si>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</si>
  <si>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</si>
  <si>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</si>
  <si>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</si>
  <si>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</si>
  <si>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</si>
  <si>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</si>
  <si>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</si>
  <si>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</si>
  <si>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</si>
  <si>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</si>
  <si>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</si>
  <si>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</si>
  <si>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</si>
  <si>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</si>
  <si>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</si>
  <si>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</si>
  <si>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</si>
  <si>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</si>
  <si>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</si>
  <si>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</si>
  <si>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</si>
  <si>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</si>
  <si>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</si>
  <si>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</si>
  <si>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</si>
  <si>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</si>
  <si>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</si>
  <si>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</si>
  <si>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</si>
  <si>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</si>
  <si>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</si>
  <si>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</si>
  <si>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</si>
  <si>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</si>
  <si>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</si>
  <si>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</si>
  <si>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</si>
  <si>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</si>
  <si>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</si>
  <si>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</si>
  <si>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</si>
  <si>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</si>
  <si>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</si>
  <si>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</si>
  <si>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</si>
  <si>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</si>
  <si>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</si>
  <si>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</si>
  <si>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</si>
  <si>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</si>
  <si>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</si>
  <si>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</si>
  <si>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</si>
  <si>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</si>
  <si>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</si>
  <si>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</si>
  <si>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</si>
  <si>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</si>
  <si>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</si>
  <si>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</si>
  <si>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</si>
  <si>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</si>
  <si>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</si>
  <si>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</si>
  <si>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</si>
  <si>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</si>
  <si>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</si>
  <si>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</si>
  <si>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</si>
  <si>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</si>
  <si>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</si>
  <si>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</si>
  <si>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</si>
  <si>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</si>
  <si>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</si>
  <si>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</si>
  <si>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</si>
  <si>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</si>
  <si>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</si>
  <si>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</si>
  <si>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</si>
  <si>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</si>
  <si>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</si>
  <si>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</si>
  <si>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</si>
  <si>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</si>
  <si>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</si>
  <si>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</si>
  <si>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</si>
  <si>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</si>
  <si>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</si>
  <si>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</si>
  <si>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</si>
  <si>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</si>
  <si>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</si>
  <si>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</si>
  <si>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</si>
  <si>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</si>
  <si>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</si>
  <si>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</si>
  <si>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</si>
  <si>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</si>
  <si>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</si>
  <si>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</si>
  <si>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</si>
  <si>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</si>
  <si>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</si>
  <si>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</si>
  <si>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</si>
  <si>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</si>
  <si>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</si>
  <si>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</si>
  <si>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</si>
  <si>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</si>
  <si>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</si>
  <si>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</si>
  <si>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</si>
  <si>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</si>
  <si>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</si>
  <si>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</si>
  <si>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</si>
  <si>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</si>
  <si>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</si>
  <si>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</si>
  <si>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</si>
  <si>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</si>
  <si>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</si>
  <si>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</si>
  <si>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</si>
  <si>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</si>
  <si>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</si>
  <si>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</si>
  <si>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</si>
  <si>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</si>
  <si>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</si>
  <si>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</si>
  <si>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</si>
  <si>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</si>
  <si>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</si>
  <si>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</si>
  <si>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</si>
  <si>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</si>
  <si>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</si>
  <si>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</si>
  <si>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</si>
  <si>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</si>
  <si>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</si>
  <si>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</si>
  <si>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</si>
  <si>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</si>
  <si>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</si>
  <si>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</si>
  <si>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</si>
  <si>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</si>
  <si>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</si>
  <si>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</si>
  <si>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</si>
  <si>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</si>
  <si>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</si>
  <si>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</si>
  <si>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</si>
  <si>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</si>
  <si>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</si>
  <si>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</si>
  <si>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</si>
  <si>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</si>
  <si>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</si>
  <si>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</si>
  <si>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</si>
  <si>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</si>
  <si>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</si>
  <si>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</si>
  <si>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</si>
  <si>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</si>
  <si>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</si>
  <si>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</si>
  <si>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</si>
  <si>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</si>
  <si>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</si>
  <si>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</si>
  <si>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</si>
  <si>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</si>
  <si>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</si>
  <si>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</si>
  <si>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</si>
  <si>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</si>
  <si>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</si>
  <si>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</si>
  <si>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</si>
  <si>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</si>
  <si>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</si>
  <si>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</si>
  <si>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</si>
  <si>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</si>
  <si>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</si>
  <si>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</si>
  <si>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</si>
  <si>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</si>
  <si>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</si>
  <si>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</si>
  <si>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</si>
  <si>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</si>
  <si>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</si>
  <si>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</si>
  <si>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</si>
  <si>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</si>
  <si>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</si>
  <si>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</si>
  <si>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</si>
  <si>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</si>
  <si>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</si>
  <si>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</si>
  <si>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</si>
  <si>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</si>
  <si>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</si>
  <si>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</si>
  <si>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</si>
  <si>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</si>
  <si>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</si>
  <si>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</si>
  <si>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</si>
  <si>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</si>
  <si>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</si>
  <si>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</si>
  <si>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</si>
  <si>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</si>
  <si>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</si>
  <si>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</si>
  <si>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</si>
  <si>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</si>
  <si>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</si>
  <si>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</si>
  <si>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</si>
  <si>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</si>
  <si>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</si>
  <si>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</si>
  <si>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</si>
  <si>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</si>
  <si>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</si>
  <si>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</si>
  <si>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</si>
  <si>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</si>
  <si>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</si>
  <si>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</si>
  <si>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</si>
  <si>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</si>
  <si>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</si>
  <si>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</si>
  <si>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</si>
  <si>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</si>
  <si>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</si>
  <si>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</si>
  <si>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</si>
  <si>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</si>
  <si>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</si>
  <si>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</si>
  <si>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</si>
  <si>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</si>
  <si>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</si>
  <si>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</si>
  <si>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</si>
  <si>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</si>
  <si>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</si>
  <si>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</si>
  <si>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</si>
  <si>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</si>
  <si>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</si>
  <si>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</si>
  <si>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</si>
  <si>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</si>
  <si>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</si>
  <si>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</si>
  <si>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</si>
  <si>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</si>
  <si>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</si>
  <si>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</si>
  <si>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</si>
  <si>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</si>
  <si>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</si>
  <si>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</si>
  <si>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</si>
  <si>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</si>
  <si>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</si>
  <si>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</si>
  <si>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</si>
  <si>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</si>
  <si>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</si>
  <si>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</si>
  <si>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</si>
  <si>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</si>
  <si>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</si>
  <si>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</si>
  <si>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</si>
  <si>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</si>
  <si>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</si>
  <si>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</si>
  <si>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</si>
  <si>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</si>
  <si>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</si>
  <si>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</si>
  <si>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</si>
  <si>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</si>
  <si>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</si>
  <si>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</si>
  <si>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</si>
  <si>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</si>
  <si>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</si>
  <si>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</si>
  <si>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</si>
  <si>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</si>
  <si>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</si>
  <si>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</si>
  <si>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</si>
  <si>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</si>
  <si>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</si>
  <si>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</si>
  <si>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</si>
  <si>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</si>
  <si>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</si>
  <si>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</si>
  <si>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</si>
  <si>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</si>
  <si>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</si>
  <si>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</si>
  <si>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</si>
  <si>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</si>
  <si>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</si>
  <si>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</si>
  <si>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</si>
  <si>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</si>
  <si>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</si>
  <si>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</si>
  <si>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</si>
  <si>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</si>
  <si>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</si>
  <si>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</si>
  <si>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</si>
  <si>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</si>
  <si>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</si>
  <si>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</si>
  <si>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</si>
  <si>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</si>
  <si>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</si>
  <si>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</si>
  <si>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</si>
  <si>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</si>
  <si>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</si>
  <si>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</si>
  <si>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</si>
  <si>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</si>
  <si>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</si>
  <si>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</si>
  <si>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</si>
  <si>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</si>
  <si>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</si>
  <si>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</si>
  <si>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</si>
  <si>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</si>
  <si>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</si>
  <si>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</si>
  <si>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</si>
  <si>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</si>
  <si>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</si>
  <si>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</si>
  <si>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</si>
  <si>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</si>
  <si>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</si>
  <si>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</si>
  <si>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</si>
  <si>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</si>
  <si>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</si>
  <si>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</si>
  <si>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</si>
  <si>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</si>
  <si>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</si>
  <si>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</si>
  <si>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</si>
  <si>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</si>
  <si>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</si>
  <si>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</si>
  <si>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</si>
  <si>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</si>
  <si>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</si>
  <si>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</si>
  <si>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</si>
  <si>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</si>
  <si>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</si>
  <si>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</si>
  <si>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</si>
  <si>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</si>
  <si>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</si>
  <si>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</si>
  <si>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</si>
  <si>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</si>
  <si>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</si>
  <si>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</si>
  <si>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</si>
  <si>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</si>
  <si>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</si>
  <si>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</si>
  <si>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</si>
  <si>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</si>
  <si>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</si>
  <si>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</si>
  <si>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</si>
  <si>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</si>
  <si>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</si>
  <si>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</si>
  <si>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</si>
  <si>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</si>
  <si>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</si>
  <si>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</si>
  <si>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</si>
  <si>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</si>
  <si>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</si>
  <si>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</si>
  <si>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</si>
  <si>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</si>
  <si>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</si>
  <si>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</si>
  <si>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</si>
  <si>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</si>
  <si>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</si>
  <si>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</si>
  <si>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</si>
  <si>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</si>
  <si>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</si>
  <si>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</si>
  <si>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</si>
  <si>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</si>
  <si>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</si>
  <si>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</si>
  <si>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</si>
  <si>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</si>
  <si>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</si>
  <si>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</si>
  <si>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</si>
  <si>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</si>
  <si>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</si>
  <si>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</si>
  <si>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</si>
  <si>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</si>
  <si>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</si>
  <si>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</si>
  <si>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</si>
  <si>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</si>
  <si>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</si>
  <si>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</si>
  <si>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</si>
  <si>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</si>
  <si>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</si>
  <si>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</si>
  <si>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</si>
  <si>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</si>
  <si>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</si>
  <si>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</si>
  <si>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</si>
  <si>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</si>
  <si>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</si>
  <si>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</si>
  <si>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</si>
  <si>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</si>
  <si>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</si>
  <si>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</si>
  <si>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</si>
  <si>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</si>
  <si>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</si>
  <si>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</si>
  <si>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</si>
  <si>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</si>
  <si>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</si>
  <si>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</si>
  <si>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</si>
  <si>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</si>
  <si>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</si>
  <si>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</si>
  <si>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</si>
  <si>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</si>
  <si>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</si>
  <si>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</si>
  <si>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</si>
  <si>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</si>
  <si>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</si>
  <si>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</si>
  <si>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</si>
  <si>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</si>
  <si>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</si>
  <si>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</si>
  <si>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</si>
  <si>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</si>
  <si>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</si>
  <si>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</si>
  <si>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</si>
  <si>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</si>
  <si>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</si>
  <si>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</si>
  <si>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</si>
  <si>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</si>
  <si>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</si>
  <si>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</si>
  <si>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</si>
  <si>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</si>
  <si>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</si>
  <si>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</si>
  <si>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</si>
  <si>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</si>
  <si>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</si>
  <si>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</si>
  <si>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</si>
  <si>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</si>
  <si>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</si>
  <si>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</si>
  <si>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</si>
  <si>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</si>
  <si>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</si>
  <si>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</si>
  <si>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</si>
  <si>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</si>
  <si>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</si>
  <si>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</si>
  <si>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</si>
  <si>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</si>
  <si>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</si>
  <si>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</si>
  <si>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</si>
  <si>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</si>
  <si>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</si>
  <si>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</si>
  <si>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</si>
  <si>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</si>
  <si>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</si>
  <si>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</si>
  <si>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</si>
  <si>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</si>
  <si>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</si>
  <si>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</si>
  <si>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</si>
  <si>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</si>
  <si>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</si>
  <si>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</si>
  <si>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</si>
  <si>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</si>
  <si>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</si>
  <si>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</si>
  <si>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</si>
  <si>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</si>
  <si>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</si>
  <si>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</si>
  <si>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</si>
  <si>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</si>
  <si>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</si>
  <si>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</si>
  <si>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</si>
  <si>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</si>
  <si>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</si>
  <si>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</si>
  <si>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</si>
  <si>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</si>
  <si>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</si>
  <si>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</si>
  <si>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</si>
  <si>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</si>
  <si>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</si>
  <si>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</si>
  <si>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</si>
  <si>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</si>
  <si>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</si>
  <si>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</si>
  <si>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</si>
  <si>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</si>
  <si>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</si>
  <si>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</si>
  <si>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</si>
  <si>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</si>
  <si>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</si>
  <si>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</si>
  <si>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</si>
  <si>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</si>
  <si>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</si>
  <si>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</si>
  <si>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</si>
  <si>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</si>
  <si>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</si>
  <si>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</si>
  <si>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</si>
  <si>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</si>
  <si>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</si>
  <si>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</si>
  <si>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</si>
  <si>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</si>
  <si>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</si>
  <si>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</si>
  <si>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</si>
  <si>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</si>
  <si>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</si>
  <si>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</si>
  <si>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</si>
  <si>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</si>
  <si>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</si>
  <si>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</si>
  <si>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</si>
  <si>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</si>
  <si>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</si>
  <si>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</si>
  <si>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</si>
  <si>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</si>
  <si>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</si>
  <si>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</si>
  <si>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</si>
  <si>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</si>
  <si>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</si>
  <si>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</si>
  <si>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</si>
  <si>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</si>
  <si>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</si>
  <si>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</si>
  <si>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</si>
  <si>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</si>
  <si>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</si>
  <si>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</si>
  <si>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</si>
  <si>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</si>
  <si>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</si>
  <si>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</si>
  <si>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</si>
  <si>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</si>
  <si>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</si>
  <si>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</si>
  <si>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</si>
  <si>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</si>
  <si>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</si>
  <si>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</si>
  <si>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</si>
  <si>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</si>
  <si>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</si>
  <si>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</si>
  <si>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</si>
  <si>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</si>
  <si>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</si>
  <si>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</si>
  <si>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</si>
  <si>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</si>
  <si>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</si>
  <si>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</si>
  <si>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</si>
  <si>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</si>
  <si>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</si>
  <si>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</si>
  <si>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</si>
  <si>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</si>
  <si>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</si>
  <si>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</si>
  <si>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</si>
  <si>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</si>
  <si>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</si>
  <si>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</si>
  <si>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</si>
  <si>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</si>
  <si>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</si>
  <si>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</si>
  <si>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</si>
  <si>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</si>
  <si>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</si>
  <si>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</si>
  <si>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</si>
  <si>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</si>
  <si>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</si>
  <si>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</si>
  <si>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</si>
  <si>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</si>
  <si>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</si>
  <si>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</si>
  <si>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</si>
  <si>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</si>
  <si>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</si>
  <si>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</si>
  <si>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</si>
  <si>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</si>
  <si>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</si>
  <si>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</si>
  <si>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</si>
  <si>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</si>
  <si>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</si>
  <si>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</si>
  <si>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</si>
  <si>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</si>
  <si>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</si>
  <si>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</si>
  <si>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</si>
  <si>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</si>
  <si>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</si>
  <si>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</si>
  <si>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</si>
  <si>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</si>
  <si>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</si>
  <si>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</si>
  <si>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</si>
  <si>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</si>
  <si>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</si>
  <si>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</si>
  <si>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</si>
  <si>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</si>
  <si>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</si>
  <si>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</si>
  <si>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</si>
  <si>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</si>
  <si>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</si>
  <si>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</si>
  <si>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</si>
  <si>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</si>
  <si>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</si>
  <si>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</si>
  <si>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</si>
  <si>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</si>
  <si>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</si>
  <si>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</si>
  <si>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</si>
  <si>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</si>
  <si>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</si>
  <si>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</si>
  <si>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</si>
  <si>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</si>
  <si>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</si>
  <si>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</si>
  <si>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</si>
  <si>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</si>
  <si>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</si>
  <si>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</si>
  <si>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</si>
  <si>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</si>
  <si>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</si>
  <si>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</si>
  <si>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</si>
  <si>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</si>
  <si>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</si>
  <si>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</si>
  <si>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</si>
  <si>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</si>
  <si>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</si>
  <si>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</si>
  <si>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</si>
  <si>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</si>
  <si>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</si>
  <si>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</si>
  <si>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</si>
  <si>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</si>
  <si>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</si>
  <si>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</si>
  <si>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</si>
  <si>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</si>
  <si>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</si>
  <si>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</si>
  <si>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</si>
  <si>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</si>
  <si>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</si>
  <si>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</si>
  <si>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</si>
  <si>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</si>
  <si>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</si>
  <si>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</si>
  <si>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</si>
  <si>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</si>
  <si>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</si>
  <si>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</si>
  <si>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</si>
  <si>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</si>
  <si>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</si>
  <si>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</si>
  <si>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</si>
  <si>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</si>
  <si>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</si>
  <si>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</si>
  <si>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</si>
  <si>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</si>
  <si>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</si>
  <si>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</si>
  <si>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</si>
  <si>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</si>
  <si>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</si>
  <si>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</si>
  <si>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</si>
  <si>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</si>
  <si>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</si>
  <si>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</si>
  <si>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</si>
  <si>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</si>
  <si>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</si>
  <si>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</si>
  <si>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</si>
  <si>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</si>
  <si>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</si>
  <si>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</si>
  <si>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</si>
  <si>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</si>
  <si>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</si>
  <si>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</si>
  <si>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</si>
  <si>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</si>
  <si>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</si>
  <si>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</si>
  <si>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</si>
  <si>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</si>
  <si>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</si>
  <si>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</si>
  <si>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</si>
  <si>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</si>
  <si>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</si>
  <si>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</si>
  <si>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</si>
  <si>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</si>
  <si>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</si>
  <si>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</si>
  <si>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</si>
  <si>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</si>
  <si>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</si>
  <si>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</si>
  <si>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</si>
  <si>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</si>
  <si>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</si>
  <si>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</si>
  <si>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</si>
  <si>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</si>
  <si>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</si>
  <si>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</si>
  <si>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</si>
  <si>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</si>
  <si>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</si>
  <si>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</si>
  <si>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</si>
  <si>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</si>
  <si>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</si>
  <si>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</si>
  <si>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</si>
  <si>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</si>
  <si>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</si>
  <si>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</si>
  <si>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</si>
  <si>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</si>
  <si>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</si>
  <si>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</si>
  <si>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</si>
  <si>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</si>
  <si>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</si>
  <si>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</si>
  <si>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</si>
  <si>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</si>
  <si>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</si>
  <si>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</si>
  <si>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</si>
  <si>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</si>
  <si>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</si>
  <si>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</si>
  <si>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</si>
  <si>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</si>
  <si>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</si>
  <si>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</si>
  <si>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</si>
  <si>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</si>
  <si>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</si>
  <si>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</si>
  <si>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</si>
  <si>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</si>
  <si>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</si>
  <si>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</si>
  <si>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</si>
  <si>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</si>
  <si>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</si>
  <si>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</si>
  <si>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</si>
  <si>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</si>
  <si>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</si>
  <si>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</si>
  <si>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</si>
  <si>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</si>
  <si>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</si>
  <si>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</si>
  <si>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</si>
  <si>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</si>
  <si>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</si>
  <si>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</si>
  <si>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</si>
  <si>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</si>
  <si>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</si>
  <si>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</si>
  <si>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</si>
  <si>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</si>
  <si>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</si>
  <si>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</si>
  <si>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</si>
  <si>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</si>
  <si>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</si>
  <si>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</si>
  <si>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</si>
  <si>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</si>
  <si>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</si>
  <si>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</si>
  <si>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</si>
  <si>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</si>
  <si>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</si>
  <si>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</si>
  <si>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</si>
  <si>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</si>
  <si>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</si>
  <si>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</si>
  <si>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</si>
  <si>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</si>
  <si>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</si>
  <si>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</si>
  <si>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</si>
  <si>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</si>
  <si>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</si>
  <si>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</si>
  <si>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</si>
  <si>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</si>
  <si>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</si>
  <si>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</si>
  <si>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</si>
  <si>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</si>
  <si>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</si>
  <si>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</si>
  <si>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</si>
  <si>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</si>
  <si>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</si>
  <si>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</si>
  <si>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</si>
  <si>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</si>
  <si>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</si>
  <si>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</si>
  <si>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</si>
  <si>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</si>
  <si>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</si>
  <si>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</si>
  <si>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</si>
  <si>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</si>
  <si>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</si>
  <si>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</si>
  <si>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</si>
  <si>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</si>
  <si>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</si>
  <si>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</si>
  <si>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</si>
  <si>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</si>
  <si>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</si>
  <si>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</si>
  <si>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</si>
  <si>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</si>
  <si>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</si>
  <si>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</si>
  <si>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</si>
  <si>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</si>
  <si>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</si>
  <si>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</si>
  <si>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</si>
  <si>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</si>
  <si>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</si>
  <si>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</si>
  <si>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</si>
  <si>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</si>
  <si>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</si>
  <si>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</si>
  <si>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</si>
  <si>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</si>
  <si>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</si>
  <si>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</si>
  <si>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</si>
  <si>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</si>
  <si>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</si>
  <si>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</si>
  <si>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</si>
  <si>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</si>
  <si>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</si>
  <si>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</si>
  <si>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</si>
  <si>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</si>
  <si>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</si>
  <si>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</si>
  <si>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</si>
  <si>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</si>
  <si>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</si>
  <si>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</si>
  <si>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</si>
  <si>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</si>
  <si>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</si>
  <si>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</si>
  <si>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</si>
  <si>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</si>
  <si>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</si>
  <si>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</si>
  <si>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</si>
  <si>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</si>
  <si>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</si>
  <si>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</si>
  <si>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</si>
  <si>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</si>
  <si>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</si>
  <si>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</si>
  <si>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</si>
  <si>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</si>
  <si>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</si>
  <si>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</si>
  <si>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</si>
  <si>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</si>
  <si>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</si>
  <si>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</si>
  <si>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</si>
  <si>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</si>
  <si>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</si>
  <si>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</si>
  <si>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</si>
  <si>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</si>
  <si>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</si>
  <si>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</si>
  <si>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</si>
  <si>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</si>
  <si>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</si>
  <si>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</si>
  <si>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</si>
  <si>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</si>
  <si>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</si>
  <si>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</si>
  <si>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</si>
  <si>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</si>
  <si>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</si>
  <si>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</si>
  <si>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</si>
  <si>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</si>
  <si>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</si>
  <si>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</si>
  <si>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</si>
  <si>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</si>
  <si>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</si>
  <si>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</si>
  <si>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</si>
  <si>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</si>
  <si>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</si>
  <si>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</si>
  <si>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</si>
  <si>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</si>
  <si>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</si>
  <si>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</si>
  <si>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</si>
  <si>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</si>
  <si>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</si>
  <si>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</si>
  <si>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</si>
  <si>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</si>
  <si>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</si>
  <si>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</si>
  <si>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</si>
  <si>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</si>
  <si>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</si>
  <si>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</si>
  <si>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</si>
  <si>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</si>
  <si>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</si>
  <si>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</si>
  <si>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</si>
  <si>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</si>
  <si>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</si>
  <si>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</si>
  <si>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</si>
  <si>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</si>
  <si>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</si>
  <si>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</si>
  <si>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</si>
  <si>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</si>
  <si>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</si>
  <si>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</si>
  <si>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</si>
  <si>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</si>
  <si>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</si>
  <si>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</si>
  <si>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</si>
  <si>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</si>
  <si>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</si>
  <si>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</si>
  <si>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</si>
  <si>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</si>
  <si>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</si>
  <si>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</si>
  <si>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</si>
  <si>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</si>
  <si>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</si>
  <si>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</si>
  <si>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</si>
  <si>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</si>
  <si>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</si>
  <si>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</si>
  <si>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</si>
  <si>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</si>
  <si>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</si>
  <si>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抵押</t>
  </si>
  <si>
    <t>房地产抵押价值</t>
  </si>
  <si>
    <t>北京市</t>
  </si>
  <si>
    <t>企业</t>
  </si>
  <si>
    <t>与房产证证载一致</t>
  </si>
  <si>
    <t>万元</t>
  </si>
  <si>
    <t>总价</t>
  </si>
  <si>
    <t>办公</t>
  </si>
  <si>
    <r>
      <t>B</t>
    </r>
    <r>
      <rPr>
        <sz val="11"/>
        <color theme="1"/>
        <rFont val="宋体"/>
        <family val="3"/>
        <charset val="134"/>
        <scheme val="minor"/>
      </rPr>
      <t>1102</t>
    </r>
    <phoneticPr fontId="146" type="noConversion"/>
  </si>
  <si>
    <r>
      <t>B</t>
    </r>
    <r>
      <rPr>
        <sz val="11"/>
        <color theme="1"/>
        <rFont val="宋体"/>
        <family val="3"/>
        <charset val="134"/>
        <scheme val="minor"/>
      </rPr>
      <t>1101A</t>
    </r>
    <phoneticPr fontId="146" type="noConversion"/>
  </si>
  <si>
    <t>房号</t>
    <phoneticPr fontId="146" type="noConversion"/>
  </si>
  <si>
    <t>建筑面积</t>
    <phoneticPr fontId="146" type="noConversion"/>
  </si>
  <si>
    <t>分摊土地面积</t>
    <phoneticPr fontId="146" type="noConversion"/>
  </si>
  <si>
    <t>容积率</t>
    <phoneticPr fontId="146" type="noConversion"/>
  </si>
  <si>
    <t>无租约</t>
  </si>
  <si>
    <t>是</t>
  </si>
  <si>
    <t>利息：取LPR加浮动点数</t>
  </si>
  <si>
    <t>钢混</t>
  </si>
  <si>
    <t>非生产用房</t>
  </si>
  <si>
    <t>科技财富中心</t>
    <phoneticPr fontId="146" type="noConversion"/>
  </si>
  <si>
    <t>面积</t>
    <phoneticPr fontId="146" type="noConversion"/>
  </si>
  <si>
    <t>楼层</t>
    <phoneticPr fontId="146" type="noConversion"/>
  </si>
  <si>
    <t>单价</t>
    <phoneticPr fontId="146" type="noConversion"/>
  </si>
  <si>
    <t>中区</t>
    <phoneticPr fontId="146" type="noConversion"/>
  </si>
  <si>
    <t>高区</t>
    <phoneticPr fontId="146" type="noConversion"/>
  </si>
  <si>
    <t>正常</t>
    <phoneticPr fontId="26" type="noConversion"/>
  </si>
  <si>
    <t>中区</t>
    <phoneticPr fontId="26" type="noConversion"/>
  </si>
  <si>
    <t>高区</t>
    <phoneticPr fontId="26" type="noConversion"/>
  </si>
  <si>
    <t>低区</t>
    <phoneticPr fontId="26" type="noConversion"/>
  </si>
  <si>
    <t>比较法-办公</t>
  </si>
  <si>
    <t>收益法</t>
  </si>
  <si>
    <t>低区</t>
    <phoneticPr fontId="146" type="noConversion"/>
  </si>
  <si>
    <t>金码大厦</t>
    <phoneticPr fontId="146" type="noConversion"/>
  </si>
  <si>
    <t>一般</t>
    <phoneticPr fontId="26" type="noConversion"/>
  </si>
  <si>
    <t>较好</t>
    <phoneticPr fontId="26" type="noConversion"/>
  </si>
  <si>
    <t>一般</t>
    <phoneticPr fontId="26" type="noConversion"/>
  </si>
  <si>
    <t>估价对象1（结果表）</t>
  </si>
  <si>
    <t>否</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</si>
</sst>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58" fontId="0" fillId="0" borderId="0" xfId="0" applyNumberFormat="1">
      <alignment vertical="center"/>
    </xf>
    <xf numFmtId="0" fontId="92" fillId="2" borderId="5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0" fillId="0" borderId="0" xfId="0" applyFill="1">
      <alignment vertical="center"/>
    </xf>
    <xf numFmtId="0" fontId="92" fillId="2" borderId="25" xfId="0" applyNumberFormat="1" applyFont="1" applyFill="1" applyBorder="1" applyAlignment="1" applyProtection="1">
      <alignment horizontal="left" vertical="center" wrapText="1"/>
      <protection locked="0"/>
    </xf>
    <xf numFmtId="49" fontId="92" fillId="2" borderId="26" xfId="0" applyNumberFormat="1" applyFont="1" applyFill="1" applyBorder="1" applyAlignment="1" applyProtection="1">
      <alignment horizontal="left" vertical="center" wrapText="1"/>
      <protection locked="0"/>
    </xf>
    <xf numFmtId="49" fontId="92" fillId="2" borderId="25"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48</xdr:row>
      <xdr:rowOff>0</xdr:rowOff>
    </xdr:from>
    <xdr:to>
      <xdr:col>14</xdr:col>
      <xdr:colOff>227372</xdr:colOff>
      <xdr:row>95</xdr:row>
      <xdr:rowOff>37089</xdr:rowOff>
    </xdr:to>
    <xdr:pic>
      <xdr:nvPicPr>
        <xdr:cNvPr id="3" name="图片 2"/>
        <xdr:cNvPicPr>
          <a:picLocks noChangeAspect="1"/>
        </xdr:cNvPicPr>
      </xdr:nvPicPr>
      <xdr:blipFill>
        <a:blip xmlns:r="http://schemas.openxmlformats.org/officeDocument/2006/relationships" r:embed="rId1"/>
        <a:stretch>
          <a:fillRect/>
        </a:stretch>
      </xdr:blipFill>
      <xdr:spPr>
        <a:xfrm>
          <a:off x="0" y="8229600"/>
          <a:ext cx="9828572" cy="8095239"/>
        </a:xfrm>
        <a:prstGeom prst="rect">
          <a:avLst/>
        </a:prstGeom>
      </xdr:spPr>
    </xdr:pic>
    <xdr:clientData/>
  </xdr:twoCellAnchor>
  <xdr:twoCellAnchor editAs="oneCell">
    <xdr:from>
      <xdr:col>0</xdr:col>
      <xdr:colOff>0</xdr:colOff>
      <xdr:row>95</xdr:row>
      <xdr:rowOff>0</xdr:rowOff>
    </xdr:from>
    <xdr:to>
      <xdr:col>13</xdr:col>
      <xdr:colOff>570315</xdr:colOff>
      <xdr:row>141</xdr:row>
      <xdr:rowOff>160920</xdr:rowOff>
    </xdr:to>
    <xdr:pic>
      <xdr:nvPicPr>
        <xdr:cNvPr id="4" name="图片 3"/>
        <xdr:cNvPicPr>
          <a:picLocks noChangeAspect="1"/>
        </xdr:cNvPicPr>
      </xdr:nvPicPr>
      <xdr:blipFill>
        <a:blip xmlns:r="http://schemas.openxmlformats.org/officeDocument/2006/relationships" r:embed="rId2"/>
        <a:stretch>
          <a:fillRect/>
        </a:stretch>
      </xdr:blipFill>
      <xdr:spPr>
        <a:xfrm>
          <a:off x="0" y="16287750"/>
          <a:ext cx="9485715" cy="8047620"/>
        </a:xfrm>
        <a:prstGeom prst="rect">
          <a:avLst/>
        </a:prstGeom>
      </xdr:spPr>
    </xdr:pic>
    <xdr:clientData/>
  </xdr:twoCellAnchor>
  <xdr:twoCellAnchor editAs="oneCell">
    <xdr:from>
      <xdr:col>0</xdr:col>
      <xdr:colOff>0</xdr:colOff>
      <xdr:row>0</xdr:row>
      <xdr:rowOff>0</xdr:rowOff>
    </xdr:from>
    <xdr:to>
      <xdr:col>13</xdr:col>
      <xdr:colOff>646505</xdr:colOff>
      <xdr:row>47</xdr:row>
      <xdr:rowOff>75184</xdr:rowOff>
    </xdr:to>
    <xdr:pic>
      <xdr:nvPicPr>
        <xdr:cNvPr id="5" name="图片 4"/>
        <xdr:cNvPicPr>
          <a:picLocks noChangeAspect="1"/>
        </xdr:cNvPicPr>
      </xdr:nvPicPr>
      <xdr:blipFill>
        <a:blip xmlns:r="http://schemas.openxmlformats.org/officeDocument/2006/relationships" r:embed="rId3"/>
        <a:stretch>
          <a:fillRect/>
        </a:stretch>
      </xdr:blipFill>
      <xdr:spPr>
        <a:xfrm>
          <a:off x="0" y="0"/>
          <a:ext cx="9561905" cy="8133334"/>
        </a:xfrm>
        <a:prstGeom prst="rect">
          <a:avLst/>
        </a:prstGeom>
      </xdr:spPr>
    </xdr:pic>
    <xdr:clientData/>
  </xdr:twoCellAnchor>
  <xdr:twoCellAnchor editAs="oneCell">
    <xdr:from>
      <xdr:col>0</xdr:col>
      <xdr:colOff>0</xdr:colOff>
      <xdr:row>151</xdr:row>
      <xdr:rowOff>0</xdr:rowOff>
    </xdr:from>
    <xdr:to>
      <xdr:col>13</xdr:col>
      <xdr:colOff>646505</xdr:colOff>
      <xdr:row>197</xdr:row>
      <xdr:rowOff>122824</xdr:rowOff>
    </xdr:to>
    <xdr:pic>
      <xdr:nvPicPr>
        <xdr:cNvPr id="6" name="图片 5"/>
        <xdr:cNvPicPr>
          <a:picLocks noChangeAspect="1"/>
        </xdr:cNvPicPr>
      </xdr:nvPicPr>
      <xdr:blipFill>
        <a:blip xmlns:r="http://schemas.openxmlformats.org/officeDocument/2006/relationships" r:embed="rId4"/>
        <a:stretch>
          <a:fillRect/>
        </a:stretch>
      </xdr:blipFill>
      <xdr:spPr>
        <a:xfrm>
          <a:off x="0" y="25888950"/>
          <a:ext cx="9561905" cy="8009524"/>
        </a:xfrm>
        <a:prstGeom prst="rect">
          <a:avLst/>
        </a:prstGeom>
      </xdr:spPr>
    </xdr:pic>
    <xdr:clientData/>
  </xdr:twoCellAnchor>
  <xdr:twoCellAnchor editAs="oneCell">
    <xdr:from>
      <xdr:col>0</xdr:col>
      <xdr:colOff>0</xdr:colOff>
      <xdr:row>198</xdr:row>
      <xdr:rowOff>0</xdr:rowOff>
    </xdr:from>
    <xdr:to>
      <xdr:col>13</xdr:col>
      <xdr:colOff>589363</xdr:colOff>
      <xdr:row>245</xdr:row>
      <xdr:rowOff>84708</xdr:rowOff>
    </xdr:to>
    <xdr:pic>
      <xdr:nvPicPr>
        <xdr:cNvPr id="7" name="图片 6"/>
        <xdr:cNvPicPr>
          <a:picLocks noChangeAspect="1"/>
        </xdr:cNvPicPr>
      </xdr:nvPicPr>
      <xdr:blipFill>
        <a:blip xmlns:r="http://schemas.openxmlformats.org/officeDocument/2006/relationships" r:embed="rId5"/>
        <a:stretch>
          <a:fillRect/>
        </a:stretch>
      </xdr:blipFill>
      <xdr:spPr>
        <a:xfrm>
          <a:off x="0" y="33947100"/>
          <a:ext cx="9504763" cy="81428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估价对象为北京市房地产，为XX所有。根据《》[]，估价对象建筑面积为176.29平方米。根据《》[]，估价对象（分摊）出让国有建设用地使用权面积为43.2平方米。估价对象用途为。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2022年4月25日</v>
      </c>
    </row>
    <row r="10" spans="1:2">
      <c r="A10" s="1139" t="s">
        <v>865</v>
      </c>
      <c r="B10" s="1126" t="str">
        <f>'预评函-1'!A13</f>
        <v>本次估价的“房地产价值”是指在正常市场情况下，在价值时点2022年4月25日，估价对象规划用途为，假定未设立法定优先受偿款下的房地产市场价值。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176.29</v>
      </c>
    </row>
    <row r="19" spans="1:2">
      <c r="A19" s="1139" t="s">
        <v>874</v>
      </c>
      <c r="B19" s="1126">
        <f ca="1">'预评函-2（1）'!D7</f>
        <v>558</v>
      </c>
    </row>
    <row r="20" spans="1:2">
      <c r="A20" s="1139" t="s">
        <v>912</v>
      </c>
      <c r="B20" s="1126" t="str">
        <f>'预评函-2（1）'!C7</f>
        <v>总价（万元）</v>
      </c>
    </row>
    <row r="21" spans="1:2">
      <c r="A21" s="1139" t="s">
        <v>875</v>
      </c>
      <c r="B21" s="1126">
        <f ca="1">'预评函-2（1）'!D9</f>
        <v>31652</v>
      </c>
    </row>
    <row r="22" spans="1:2">
      <c r="A22" s="1139" t="s">
        <v>876</v>
      </c>
      <c r="B22" s="1126" t="str">
        <f ca="1">'预评函-2（1）'!D8</f>
        <v>伍佰伍拾捌万元整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558</v>
      </c>
    </row>
    <row r="30" spans="1:2">
      <c r="A30" s="1139" t="s">
        <v>882</v>
      </c>
      <c r="B30" s="1126" t="str">
        <f ca="1">'预评函-2（1）'!D16</f>
        <v>伍佰伍拾捌万元整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43.2</v>
      </c>
    </row>
    <row r="37" spans="1:2">
      <c r="A37" s="1139" t="s">
        <v>889</v>
      </c>
      <c r="B37" s="1126">
        <f ca="1">'预评函-2（2）'!D4</f>
        <v>483</v>
      </c>
    </row>
    <row r="38" spans="1:2">
      <c r="A38" s="1139" t="s">
        <v>890</v>
      </c>
      <c r="B38" s="1126">
        <f ca="1">'预评函-2（2）'!E4</f>
        <v>27398</v>
      </c>
    </row>
    <row r="39" spans="1:2">
      <c r="A39" s="1139" t="s">
        <v>891</v>
      </c>
      <c r="B39" s="1126" t="str">
        <f ca="1">'预评函-2（2）'!D5</f>
        <v>肆佰捌拾叁万元整</v>
      </c>
    </row>
    <row r="40" spans="1:2">
      <c r="A40" s="1139" t="s">
        <v>892</v>
      </c>
      <c r="B40" s="1126">
        <f ca="1">'预评函-2（2）'!F4</f>
        <v>75</v>
      </c>
    </row>
    <row r="41" spans="1:2">
      <c r="A41" s="1139" t="s">
        <v>893</v>
      </c>
      <c r="B41" s="1126">
        <f ca="1">'预评函-2（2）'!G4</f>
        <v>4254</v>
      </c>
    </row>
    <row r="42" spans="1:2" s="1136" customFormat="1" ht="15.75" thickBot="1">
      <c r="A42" s="1140" t="s">
        <v>894</v>
      </c>
      <c r="B42" s="1128" t="str">
        <f ca="1">'预评函-2（2）'!F5</f>
        <v>柒拾伍万元整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31652</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35" sqref="K35"/>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44676</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2478</v>
      </c>
      <c r="C4" s="2810" t="s">
        <v>1294</v>
      </c>
      <c r="D4" s="1357" t="s">
        <v>3029</v>
      </c>
      <c r="E4" s="782"/>
      <c r="F4" s="782"/>
      <c r="G4" s="1121"/>
    </row>
    <row r="5" spans="1:17">
      <c r="A5" s="1358" t="s">
        <v>1295</v>
      </c>
      <c r="B5" s="1359" t="s">
        <v>2479</v>
      </c>
      <c r="C5" s="2811" t="s">
        <v>1296</v>
      </c>
      <c r="D5" s="1361" t="s">
        <v>3030</v>
      </c>
      <c r="E5" s="2812" t="s">
        <v>1297</v>
      </c>
      <c r="F5" s="1361" t="s">
        <v>3030</v>
      </c>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2479</v>
      </c>
      <c r="E7" s="783"/>
      <c r="F7" s="783"/>
      <c r="G7" s="1122"/>
    </row>
    <row r="8" spans="1:17" ht="13.5" thickTop="1">
      <c r="A8" s="3384" t="s">
        <v>1301</v>
      </c>
      <c r="B8" s="1367" t="s">
        <v>1302</v>
      </c>
      <c r="C8" s="3397"/>
      <c r="D8" s="3398"/>
      <c r="E8" s="2519" t="s">
        <v>1303</v>
      </c>
      <c r="F8" s="2520" t="s">
        <v>1304</v>
      </c>
      <c r="G8" s="2521" t="str">
        <f>C6</f>
        <v>XX</v>
      </c>
    </row>
    <row r="9" spans="1:17" ht="25.5">
      <c r="A9" s="3384"/>
      <c r="B9" s="259" t="s">
        <v>1305</v>
      </c>
      <c r="C9" s="1359"/>
      <c r="D9" s="1368" t="s">
        <v>3033</v>
      </c>
      <c r="E9" s="2815" t="s">
        <v>1306</v>
      </c>
      <c r="F9" s="2522"/>
      <c r="G9" s="2523"/>
    </row>
    <row r="10" spans="1:17" ht="13.5" thickBot="1">
      <c r="A10" s="3384"/>
      <c r="B10" s="259" t="s">
        <v>1307</v>
      </c>
      <c r="C10" s="3399"/>
      <c r="D10" s="3400"/>
      <c r="E10" s="2816" t="s">
        <v>1308</v>
      </c>
      <c r="F10" s="2524"/>
      <c r="G10" s="2525"/>
    </row>
    <row r="11" spans="1:17" ht="13.5" thickBot="1">
      <c r="A11" s="3384"/>
      <c r="B11" s="1370" t="s">
        <v>1309</v>
      </c>
      <c r="C11" s="3401"/>
      <c r="D11" s="3402"/>
      <c r="E11" s="769"/>
      <c r="F11" s="769"/>
      <c r="G11" s="788"/>
    </row>
    <row r="12" spans="1:17" ht="13.5" thickBot="1">
      <c r="A12" s="3388" t="s">
        <v>2586</v>
      </c>
      <c r="B12" s="2817" t="s">
        <v>1310</v>
      </c>
      <c r="C12" s="766">
        <f>Sheet1!C4</f>
        <v>176.29</v>
      </c>
      <c r="D12" s="1371" t="s">
        <v>1311</v>
      </c>
      <c r="E12" s="1372"/>
      <c r="F12" s="1373"/>
      <c r="G12" s="788"/>
    </row>
    <row r="13" spans="1:17" ht="21" customHeight="1" thickBot="1">
      <c r="A13" s="3389"/>
      <c r="B13" s="2818" t="s">
        <v>1312</v>
      </c>
      <c r="C13" s="767">
        <f>Sheet1!D4</f>
        <v>43.2</v>
      </c>
      <c r="D13" s="1374" t="s">
        <v>1313</v>
      </c>
      <c r="E13" s="1375"/>
      <c r="F13" s="769"/>
      <c r="G13" s="788"/>
      <c r="I13" s="3407"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407"/>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f>Sheet1!E4</f>
        <v>4.08</v>
      </c>
      <c r="D15" s="783"/>
      <c r="E15" s="783"/>
      <c r="F15" s="783"/>
      <c r="G15" s="1122"/>
      <c r="I15" s="3407"/>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3" t="s">
        <v>1320</v>
      </c>
      <c r="C17" s="3404"/>
      <c r="D17" s="3405" t="s">
        <v>1321</v>
      </c>
      <c r="E17" s="3406"/>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16" t="s">
        <v>2585</v>
      </c>
      <c r="B24" s="3416"/>
      <c r="C24" s="3416"/>
      <c r="D24" s="3416"/>
      <c r="E24" s="3416"/>
      <c r="F24" s="3416"/>
      <c r="G24" s="3416"/>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1" t="s">
        <v>1334</v>
      </c>
      <c r="D28" s="3392"/>
      <c r="E28" s="759"/>
      <c r="F28" s="761" t="s">
        <v>1334</v>
      </c>
      <c r="G28" s="759"/>
      <c r="K28" s="2822"/>
    </row>
    <row r="29" spans="1:66">
      <c r="A29" s="762" t="s">
        <v>1335</v>
      </c>
      <c r="B29" s="756"/>
      <c r="C29" s="3393" t="s">
        <v>1336</v>
      </c>
      <c r="D29" s="3394"/>
      <c r="E29" s="756"/>
      <c r="F29" s="762" t="s">
        <v>1336</v>
      </c>
      <c r="G29" s="756"/>
      <c r="K29" s="2822"/>
    </row>
    <row r="30" spans="1:66">
      <c r="A30" s="762" t="s">
        <v>1337</v>
      </c>
      <c r="B30" s="756"/>
      <c r="C30" s="3393" t="s">
        <v>1337</v>
      </c>
      <c r="D30" s="3394"/>
      <c r="E30" s="756"/>
      <c r="F30" s="762" t="s">
        <v>1338</v>
      </c>
      <c r="G30" s="756"/>
      <c r="K30" s="2822"/>
    </row>
    <row r="31" spans="1:66">
      <c r="A31" s="762" t="s">
        <v>1339</v>
      </c>
      <c r="B31" s="756"/>
      <c r="C31" s="3413" t="s">
        <v>1340</v>
      </c>
      <c r="D31" s="769"/>
      <c r="E31" s="2545" t="str">
        <f>E32&amp;" "&amp;E33&amp;" "&amp;E34&amp;" "&amp;E35</f>
        <v xml:space="preserve">   </v>
      </c>
      <c r="F31" s="762" t="s">
        <v>1341</v>
      </c>
      <c r="G31" s="756"/>
    </row>
    <row r="32" spans="1:66">
      <c r="A32" s="762" t="s">
        <v>1342</v>
      </c>
      <c r="B32" s="756"/>
      <c r="C32" s="3414"/>
      <c r="D32" s="259" t="s">
        <v>1343</v>
      </c>
      <c r="E32" s="756"/>
      <c r="F32" s="762" t="s">
        <v>1344</v>
      </c>
      <c r="G32" s="756"/>
    </row>
    <row r="33" spans="1:7" ht="24.75" thickBot="1">
      <c r="A33" s="763" t="s">
        <v>1345</v>
      </c>
      <c r="B33" s="760"/>
      <c r="C33" s="3414"/>
      <c r="D33" s="259" t="s">
        <v>1346</v>
      </c>
      <c r="E33" s="756"/>
      <c r="F33" s="762" t="s">
        <v>1347</v>
      </c>
      <c r="G33" s="756"/>
    </row>
    <row r="34" spans="1:7">
      <c r="A34" s="761" t="s">
        <v>1348</v>
      </c>
      <c r="B34" s="759"/>
      <c r="C34" s="3414"/>
      <c r="D34" s="259" t="s">
        <v>1349</v>
      </c>
      <c r="E34" s="756"/>
      <c r="F34" s="762" t="s">
        <v>1350</v>
      </c>
      <c r="G34" s="756"/>
    </row>
    <row r="35" spans="1:7" ht="13.5" thickBot="1">
      <c r="A35" s="762" t="s">
        <v>1351</v>
      </c>
      <c r="B35" s="756"/>
      <c r="C35" s="3415"/>
      <c r="D35" s="259" t="s">
        <v>1352</v>
      </c>
      <c r="E35" s="756"/>
      <c r="F35" s="763" t="s">
        <v>1353</v>
      </c>
      <c r="G35" s="2546"/>
    </row>
    <row r="36" spans="1:7">
      <c r="A36" s="762" t="s">
        <v>1310</v>
      </c>
      <c r="B36" s="756"/>
      <c r="C36" s="3393" t="s">
        <v>1354</v>
      </c>
      <c r="D36" s="3394"/>
      <c r="E36" s="756"/>
      <c r="F36" s="2547" t="s">
        <v>1355</v>
      </c>
      <c r="G36" s="759"/>
    </row>
    <row r="37" spans="1:7" ht="13.5" thickBot="1">
      <c r="A37" s="762" t="s">
        <v>1356</v>
      </c>
      <c r="B37" s="756"/>
      <c r="C37" s="3395" t="s">
        <v>1357</v>
      </c>
      <c r="D37" s="3396"/>
      <c r="E37" s="760"/>
      <c r="F37" s="1391" t="s">
        <v>1358</v>
      </c>
      <c r="G37" s="756"/>
    </row>
    <row r="38" spans="1:7" ht="13.5" thickBot="1">
      <c r="A38" s="762" t="s">
        <v>1359</v>
      </c>
      <c r="B38" s="756"/>
      <c r="C38" s="3385" t="s">
        <v>1360</v>
      </c>
      <c r="D38" s="1371" t="s">
        <v>1344</v>
      </c>
      <c r="E38" s="759"/>
      <c r="F38" s="763" t="s">
        <v>1361</v>
      </c>
      <c r="G38" s="760"/>
    </row>
    <row r="39" spans="1:7">
      <c r="A39" s="762" t="s">
        <v>1362</v>
      </c>
      <c r="B39" s="756"/>
      <c r="C39" s="3386"/>
      <c r="D39" s="259" t="s">
        <v>1351</v>
      </c>
      <c r="E39" s="756"/>
      <c r="F39" s="761" t="s">
        <v>1363</v>
      </c>
      <c r="G39" s="759"/>
    </row>
    <row r="40" spans="1:7">
      <c r="A40" s="762" t="s">
        <v>1364</v>
      </c>
      <c r="B40" s="756"/>
      <c r="C40" s="3386" t="s">
        <v>1365</v>
      </c>
      <c r="D40" s="259" t="s">
        <v>1310</v>
      </c>
      <c r="E40" s="756"/>
      <c r="F40" s="762" t="s">
        <v>1366</v>
      </c>
      <c r="G40" s="756"/>
    </row>
    <row r="41" spans="1:7" ht="24.75" customHeight="1" thickBot="1">
      <c r="A41" s="763" t="s">
        <v>1367</v>
      </c>
      <c r="B41" s="760"/>
      <c r="C41" s="3387"/>
      <c r="D41" s="1374" t="s">
        <v>1312</v>
      </c>
      <c r="E41" s="760"/>
      <c r="F41" s="763" t="s">
        <v>1368</v>
      </c>
      <c r="G41" s="760"/>
    </row>
    <row r="42" spans="1:7">
      <c r="A42" s="764" t="s">
        <v>1369</v>
      </c>
      <c r="B42" s="2548"/>
      <c r="C42" s="3408" t="s">
        <v>1369</v>
      </c>
      <c r="D42" s="3409"/>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10" t="s">
        <v>1372</v>
      </c>
      <c r="D49" s="3411"/>
      <c r="E49" s="778"/>
      <c r="F49" s="763" t="s">
        <v>1373</v>
      </c>
      <c r="G49" s="760"/>
    </row>
    <row r="50" spans="1:66">
      <c r="A50" s="762" t="s">
        <v>1374</v>
      </c>
      <c r="B50" s="777"/>
      <c r="C50" s="3385" t="s">
        <v>1375</v>
      </c>
      <c r="D50" s="3412"/>
      <c r="E50" s="2550"/>
      <c r="F50" s="795"/>
      <c r="G50" s="796"/>
    </row>
    <row r="51" spans="1:66" ht="13.5" thickBot="1">
      <c r="A51" s="762" t="s">
        <v>1376</v>
      </c>
      <c r="B51" s="777"/>
      <c r="C51" s="3387" t="s">
        <v>1377</v>
      </c>
      <c r="D51" s="3390"/>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7" t="s">
        <v>0</v>
      </c>
      <c r="B1" s="3417" t="s">
        <v>2</v>
      </c>
      <c r="C1" s="3417" t="s">
        <v>3</v>
      </c>
      <c r="D1" s="3418" t="s">
        <v>67</v>
      </c>
      <c r="E1" s="3418" t="s">
        <v>68</v>
      </c>
      <c r="F1" s="3418"/>
      <c r="G1" s="3418"/>
      <c r="H1" s="3418"/>
      <c r="I1" s="3418"/>
      <c r="J1" s="3418"/>
      <c r="K1" s="3418"/>
      <c r="L1" s="3418"/>
      <c r="M1" s="3418"/>
    </row>
    <row r="2" spans="1:13" ht="27" customHeight="1">
      <c r="A2" s="3417"/>
      <c r="B2" s="3417"/>
      <c r="C2" s="3417"/>
      <c r="D2" s="3418"/>
      <c r="E2" s="3418" t="s">
        <v>51</v>
      </c>
      <c r="F2" s="3418" t="s">
        <v>52</v>
      </c>
      <c r="G2" s="3418"/>
      <c r="H2" s="3418"/>
      <c r="I2" s="3418"/>
      <c r="J2" s="3418" t="s">
        <v>53</v>
      </c>
      <c r="K2" s="3418"/>
      <c r="L2" s="3418"/>
      <c r="M2" s="3418"/>
    </row>
    <row r="3" spans="1:13" ht="28.5">
      <c r="A3" s="3417"/>
      <c r="B3" s="3417"/>
      <c r="C3" s="3417"/>
      <c r="D3" s="3418"/>
      <c r="E3" s="341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8" t="s">
        <v>69</v>
      </c>
      <c r="B9" s="3418"/>
      <c r="C9" s="341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L52" sqref="L52"/>
      <selection pane="topRight" activeCell="L52" sqref="L52"/>
      <selection pane="bottomLeft" activeCell="L52" sqref="L52"/>
      <selection pane="bottomRight" activeCell="K10" sqref="K10"/>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44676</v>
      </c>
      <c r="C2" s="1613"/>
      <c r="D2" s="3419"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3034</v>
      </c>
      <c r="C3" s="1613"/>
      <c r="D3" s="3420"/>
      <c r="E3" s="2557" t="s">
        <v>3066</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3035</v>
      </c>
      <c r="C4" s="1613"/>
      <c r="D4" s="3420"/>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176.29</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43.2</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3036</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55627</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30</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0.84199999999999997</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2596</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2597</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7.4999999999999997E-2</v>
      </c>
      <c r="C17" s="2481" t="s">
        <v>2598</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705160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ROUND((H20+H21)/2,2)</f>
        <v>0.74</v>
      </c>
      <c r="F20" s="905"/>
      <c r="G20" s="1613"/>
      <c r="H20" s="1613">
        <f>ROUND(1-(2022-B27)/60,2)</f>
        <v>0.68</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2604</v>
      </c>
      <c r="G21" s="1613"/>
      <c r="H21" s="1613">
        <v>0.8</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0.05</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2603</v>
      </c>
      <c r="I25" s="2886"/>
    </row>
    <row r="26" spans="1:41" ht="15" thickBot="1">
      <c r="A26" s="2864" t="s">
        <v>1417</v>
      </c>
      <c r="B26" s="2868">
        <f>B22-B23</f>
        <v>0</v>
      </c>
      <c r="D26" s="2848" t="s">
        <v>1420</v>
      </c>
      <c r="E26" s="2583">
        <v>0.02</v>
      </c>
      <c r="F26" s="2591" t="s">
        <v>2603</v>
      </c>
      <c r="G26" s="2887"/>
      <c r="H26" s="2887"/>
      <c r="I26" s="1613"/>
      <c r="J26" s="1613"/>
      <c r="K26" s="1613"/>
      <c r="L26" s="1613"/>
      <c r="M26" s="1613"/>
      <c r="N26" s="1613"/>
    </row>
    <row r="27" spans="1:41" ht="15.75" thickBot="1">
      <c r="A27" s="2869" t="s">
        <v>1419</v>
      </c>
      <c r="B27" s="2585">
        <v>2003</v>
      </c>
      <c r="C27" s="1613"/>
      <c r="D27" s="3074" t="s">
        <v>3045</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3043</v>
      </c>
      <c r="D29" s="2853" t="s">
        <v>1423</v>
      </c>
      <c r="E29" s="2872">
        <f>E30+E31</f>
        <v>5.6000000000000001E-2</v>
      </c>
      <c r="F29" s="1238"/>
      <c r="G29" s="2887"/>
      <c r="H29" s="2887"/>
      <c r="K29" s="1613"/>
      <c r="N29" s="1613"/>
    </row>
    <row r="30" spans="1:41" ht="14.25">
      <c r="A30" s="2848" t="str">
        <f>IF(B29="租赁期内按合同租金","合同租金","市场租金")</f>
        <v>市场租金</v>
      </c>
      <c r="B30" s="2588">
        <v>6</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2490</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30</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3</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479</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2601</v>
      </c>
      <c r="D45" s="2601" t="s">
        <v>1456</v>
      </c>
      <c r="E45" s="2588"/>
      <c r="F45" s="1239">
        <v>12</v>
      </c>
      <c r="G45" s="2593"/>
      <c r="H45" s="2593"/>
      <c r="M45" s="1613"/>
      <c r="N45" s="1613"/>
    </row>
    <row r="46" spans="1:14" ht="14.25">
      <c r="A46" s="2848" t="s">
        <v>1455</v>
      </c>
      <c r="B46" s="2603">
        <v>1E-3</v>
      </c>
      <c r="C46" s="2481" t="s">
        <v>2599</v>
      </c>
      <c r="D46" s="2601" t="s">
        <v>1218</v>
      </c>
      <c r="E46" s="2588">
        <v>3</v>
      </c>
      <c r="F46" s="1239">
        <v>3</v>
      </c>
      <c r="G46" s="2593"/>
      <c r="H46" s="2593"/>
      <c r="M46" s="1613"/>
      <c r="N46" s="1613"/>
    </row>
    <row r="47" spans="1:14" ht="15" thickBot="1">
      <c r="A47" s="2851" t="s">
        <v>1457</v>
      </c>
      <c r="B47" s="2604">
        <v>0.02</v>
      </c>
      <c r="C47" s="2481" t="s">
        <v>2600</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L52" sqref="L52"/>
      <selection pane="topRight" activeCell="L52" sqref="L52"/>
      <selection pane="bottomLeft" activeCell="L52" sqref="L52"/>
      <selection pane="bottomRight" activeCell="L52" sqref="L52"/>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21" t="s">
        <v>1463</v>
      </c>
      <c r="B1" s="3422"/>
      <c r="C1" s="3422"/>
      <c r="D1" s="3422"/>
      <c r="E1" s="3422"/>
      <c r="F1" s="3422"/>
      <c r="G1" s="3422"/>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2608</v>
      </c>
      <c r="B3" s="3023" t="s">
        <v>2609</v>
      </c>
      <c r="C3" s="3024" t="s">
        <v>2610</v>
      </c>
      <c r="D3" s="3025"/>
      <c r="E3" s="3026" t="s">
        <v>2608</v>
      </c>
      <c r="F3" s="3027" t="s">
        <v>2611</v>
      </c>
      <c r="G3" s="3028"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2613</v>
      </c>
      <c r="C4" s="3029" t="s">
        <v>2614</v>
      </c>
      <c r="D4" s="3025"/>
      <c r="E4" s="3030"/>
      <c r="F4" s="3012" t="s">
        <v>2615</v>
      </c>
      <c r="G4" s="3031"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2617</v>
      </c>
      <c r="C5" s="3029" t="s">
        <v>2618</v>
      </c>
      <c r="D5" s="3025"/>
      <c r="E5" s="3030"/>
      <c r="F5" s="3010" t="s">
        <v>2619</v>
      </c>
      <c r="G5" s="3031"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2621</v>
      </c>
      <c r="C6" s="3031" t="s">
        <v>2616</v>
      </c>
      <c r="D6" s="3025"/>
      <c r="E6" s="3030"/>
      <c r="F6" s="3010" t="s">
        <v>2622</v>
      </c>
      <c r="G6" s="3031"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2619</v>
      </c>
      <c r="C7" s="3031" t="s">
        <v>2620</v>
      </c>
      <c r="D7" s="2900"/>
      <c r="E7" s="3032"/>
      <c r="F7" s="3033" t="s">
        <v>2624</v>
      </c>
      <c r="G7" s="3034"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2622</v>
      </c>
      <c r="C8" s="3031" t="s">
        <v>2623</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2626</v>
      </c>
      <c r="C9" s="3029" t="s">
        <v>2627</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2628</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2629</v>
      </c>
      <c r="D14" s="3025"/>
      <c r="E14" s="3043"/>
      <c r="F14" s="3043"/>
      <c r="G14" s="3018" t="s">
        <v>2630</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2631</v>
      </c>
      <c r="B15" s="3048" t="s">
        <v>2609</v>
      </c>
      <c r="C15" s="3049" t="str">
        <f>C3</f>
        <v>估价对象周边居住用地比例、居住小区规模和社区发展完善程度，综合评价居住社区成熟度一般</v>
      </c>
      <c r="D15" s="3025"/>
      <c r="E15" s="3050" t="s">
        <v>2632</v>
      </c>
      <c r="F15" s="3048" t="s">
        <v>2633</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2613</v>
      </c>
      <c r="C16" s="3053" t="str">
        <f>C4</f>
        <v>估价对象位于XX商圈，周边商业氛围成熟，人流量大，商业繁华度好</v>
      </c>
      <c r="D16" s="3025"/>
      <c r="E16" s="3054"/>
      <c r="F16" s="3011" t="s">
        <v>2615</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2617</v>
      </c>
      <c r="C17" s="3053" t="str">
        <f>C5</f>
        <v>估价对象位于XX商圈，周边办公楼项目较多，入驻率高，办公集聚程度较好</v>
      </c>
      <c r="D17" s="2900"/>
      <c r="E17" s="3054"/>
      <c r="F17" s="3324" t="s">
        <v>3028</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2621</v>
      </c>
      <c r="C18" s="3055" t="str">
        <f>C6</f>
        <v>估价对象周边道路状况、公共交通通达情况、停车便捷程度，综合评价交通便捷度较好</v>
      </c>
      <c r="D18" s="2900"/>
      <c r="E18" s="3054"/>
      <c r="F18" s="3011" t="s">
        <v>2624</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3027</v>
      </c>
      <c r="C19" s="3056"/>
      <c r="D19" s="3025"/>
      <c r="E19" s="3054"/>
      <c r="F19" s="3010" t="s">
        <v>2619</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2634</v>
      </c>
      <c r="C20" s="3053" t="str">
        <f>C9</f>
        <v>区域自然环境：；人文环境；综合评价环境状况一般</v>
      </c>
      <c r="D20" s="2900"/>
      <c r="E20" s="3054"/>
      <c r="F20" s="3010" t="s">
        <v>2622</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2619</v>
      </c>
      <c r="C21" s="3055" t="str">
        <f>C7</f>
        <v>估价对象所在区域公共配套设施齐备情况</v>
      </c>
      <c r="D21" s="3025"/>
      <c r="E21" s="3054"/>
      <c r="F21" s="3011" t="s">
        <v>2635</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2622</v>
      </c>
      <c r="C22" s="3055" t="str">
        <f>C8</f>
        <v>估价对象所在区域基础设施水平</v>
      </c>
      <c r="D22" s="3025"/>
      <c r="E22" s="3054"/>
      <c r="F22" s="3011" t="s">
        <v>2628</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2635</v>
      </c>
      <c r="C23" s="3057"/>
      <c r="D23" s="3044"/>
      <c r="E23" s="3059"/>
      <c r="F23" s="3013" t="s">
        <v>2636</v>
      </c>
      <c r="G23" s="3060"/>
      <c r="H23" s="3044"/>
      <c r="I23" s="3045"/>
      <c r="J23" s="3044"/>
      <c r="K23" s="3044"/>
      <c r="L23" s="3045"/>
      <c r="M23" s="3044"/>
      <c r="N23" s="3044"/>
      <c r="O23" s="3045"/>
      <c r="P23" s="3044"/>
      <c r="Q23" s="3044"/>
      <c r="R23" s="3046"/>
    </row>
    <row r="24" spans="1:29" s="3021" customFormat="1" ht="13.5" thickBot="1">
      <c r="A24" s="3061"/>
      <c r="B24" s="3013" t="s">
        <v>2637</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5" sqref="E35"/>
    </sheetView>
  </sheetViews>
  <sheetFormatPr defaultColWidth="14.625" defaultRowHeight="13.5"/>
  <cols>
    <col min="1" max="1" width="24.375" style="2501" customWidth="1"/>
    <col min="2" max="16384" width="14.625" style="2501"/>
  </cols>
  <sheetData>
    <row r="1" spans="1:9" ht="16.5">
      <c r="A1" s="2499" t="s">
        <v>973</v>
      </c>
      <c r="B1" s="2499">
        <f>SUM(B14:B23)</f>
        <v>176.29</v>
      </c>
      <c r="C1" s="1562"/>
      <c r="D1" s="1562"/>
      <c r="E1" s="1562"/>
      <c r="F1" s="1562"/>
      <c r="G1" s="2500"/>
    </row>
    <row r="2" spans="1:9" ht="16.5">
      <c r="A2" s="2499" t="s">
        <v>974</v>
      </c>
      <c r="B2" s="2499">
        <f>SUM(C14:C23)</f>
        <v>43.2</v>
      </c>
      <c r="C2" s="1562"/>
      <c r="D2" s="1562"/>
      <c r="E2" s="1562"/>
      <c r="F2" s="1562"/>
      <c r="G2" s="2500"/>
    </row>
    <row r="3" spans="1:9" ht="16.5">
      <c r="A3" s="2499" t="s">
        <v>975</v>
      </c>
      <c r="B3" s="2502">
        <f>项目基本情况!D2</f>
        <v>44676</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558</v>
      </c>
      <c r="C5" s="2499">
        <f ca="1">ROUND(B5*10000/$B$1,0)</f>
        <v>31652</v>
      </c>
      <c r="D5" s="2499">
        <f ca="1">ROUND(B5*10000/$B$2,0)</f>
        <v>129167</v>
      </c>
      <c r="E5" s="1562"/>
      <c r="F5" s="2500"/>
      <c r="G5" s="2500"/>
    </row>
    <row r="6" spans="1:9" ht="16.5">
      <c r="A6" s="2499" t="s">
        <v>981</v>
      </c>
      <c r="B6" s="2499">
        <f ca="1">SUM(G14:G23)</f>
        <v>558</v>
      </c>
      <c r="C6" s="2499">
        <f t="shared" ref="C6:C8" ca="1" si="0">ROUND(B6*10000/$B$1,0)</f>
        <v>31652</v>
      </c>
      <c r="D6" s="2499">
        <f t="shared" ref="D6:D8" ca="1" si="1">ROUND(B6*10000/$B$2,0)</f>
        <v>129167</v>
      </c>
      <c r="E6" s="1562"/>
      <c r="F6" s="2500"/>
      <c r="G6" s="2500"/>
    </row>
    <row r="7" spans="1:9" ht="16.5">
      <c r="A7" s="2499" t="s">
        <v>982</v>
      </c>
      <c r="B7" s="2499">
        <f>SUM(H14:H23)</f>
        <v>0</v>
      </c>
      <c r="C7" s="2499">
        <f>ROUND(B7*10000/$B$1,0)</f>
        <v>0</v>
      </c>
      <c r="D7" s="2499">
        <f t="shared" si="1"/>
        <v>0</v>
      </c>
      <c r="E7" s="1562"/>
      <c r="F7" s="2500"/>
      <c r="G7" s="2500"/>
    </row>
    <row r="8" spans="1:9" ht="16.5">
      <c r="A8" s="2499" t="s">
        <v>983</v>
      </c>
      <c r="B8" s="2499">
        <f>SUM(I14:I23)</f>
        <v>0</v>
      </c>
      <c r="C8" s="2499">
        <f t="shared" si="0"/>
        <v>0</v>
      </c>
      <c r="D8" s="2499">
        <f t="shared" si="1"/>
        <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3065</v>
      </c>
      <c r="B14" s="2835">
        <f>项目基本情况!C12</f>
        <v>176.29</v>
      </c>
      <c r="C14" s="2835">
        <f>项目基本情况!C13</f>
        <v>43.2</v>
      </c>
      <c r="D14" s="2835">
        <f ca="1">IF('数据-取费表'!B3="万元",IF(A14="估价对象1（结果表）",结果表!H121,'结果表 (1修多)'!H125),IF(A14="估价对象1（结果表）",结果表!H121,'结果表 (1修多)'!H125)/10000)</f>
        <v>558</v>
      </c>
      <c r="E14" s="2835">
        <f ca="1">ROUND(D14*10000/B14,0)</f>
        <v>31652</v>
      </c>
      <c r="F14" s="2835">
        <f ca="1">ROUND(D14*10000/C14,0)</f>
        <v>129167</v>
      </c>
      <c r="G14" s="2835">
        <f ca="1">IF('数据-取费表'!B3="万元",IF(A14="估价对象1（结果表）",结果表!D125,'结果表 (1修多)'!D129),IF(A14="估价对象1（结果表）",结果表!D125,'结果表 (1修多)'!D129)/10000)</f>
        <v>558</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4" zoomScale="80" zoomScaleNormal="100" zoomScaleSheetLayoutView="80" zoomScalePageLayoutView="80" workbookViewId="0">
      <selection activeCell="L115" sqref="L115"/>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4" t="str">
        <f>项目基本情况!B1</f>
        <v>北京市房地产抵押价值预评估</v>
      </c>
      <c r="B2" s="3494"/>
      <c r="C2" s="3494"/>
      <c r="D2" s="3494"/>
      <c r="E2" s="3494"/>
      <c r="F2" s="3494"/>
      <c r="G2" s="3494"/>
      <c r="H2" s="3494"/>
      <c r="I2" s="3494"/>
      <c r="J2" s="2762"/>
    </row>
    <row r="3" spans="1:15" ht="12.75">
      <c r="A3" s="3499" t="s">
        <v>1471</v>
      </c>
      <c r="B3" s="3500"/>
      <c r="C3" s="3500"/>
      <c r="D3" s="3500"/>
      <c r="E3" s="3500"/>
      <c r="F3" s="3500"/>
      <c r="G3" s="3500"/>
      <c r="H3" s="3500"/>
      <c r="I3" s="3500"/>
      <c r="J3" s="2763"/>
    </row>
    <row r="4" spans="1:15" ht="14.25">
      <c r="A4" s="2631" t="s">
        <v>1472</v>
      </c>
      <c r="B4" s="2631" t="s">
        <v>1473</v>
      </c>
      <c r="C4" s="2632" t="s">
        <v>3058</v>
      </c>
      <c r="D4" s="2632" t="s">
        <v>3059</v>
      </c>
      <c r="E4" s="3496" t="s">
        <v>1474</v>
      </c>
      <c r="F4" s="3484"/>
      <c r="G4" s="3484"/>
      <c r="H4" s="3484"/>
      <c r="I4" s="3485"/>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5" t="s">
        <v>1475</v>
      </c>
      <c r="B5" s="3495">
        <v>25</v>
      </c>
      <c r="C5" s="3501"/>
      <c r="D5" s="3498"/>
      <c r="E5" s="12" t="s">
        <v>1476</v>
      </c>
      <c r="F5" s="2017"/>
      <c r="G5" s="2017"/>
      <c r="H5" s="2017"/>
      <c r="I5" s="2012"/>
      <c r="J5" s="2764"/>
    </row>
    <row r="6" spans="1:15" ht="12.75">
      <c r="A6" s="3495"/>
      <c r="B6" s="3495"/>
      <c r="C6" s="3502"/>
      <c r="D6" s="3498"/>
      <c r="E6" s="12" t="s">
        <v>1477</v>
      </c>
      <c r="F6" s="2017"/>
      <c r="G6" s="2017"/>
      <c r="H6" s="2017"/>
      <c r="I6" s="2012"/>
      <c r="J6" s="2764"/>
    </row>
    <row r="7" spans="1:15" ht="12.75">
      <c r="A7" s="3495"/>
      <c r="B7" s="3495"/>
      <c r="C7" s="3503"/>
      <c r="D7" s="3498"/>
      <c r="E7" s="12" t="s">
        <v>1478</v>
      </c>
      <c r="F7" s="2017"/>
      <c r="G7" s="2017"/>
      <c r="H7" s="2017"/>
      <c r="I7" s="2012"/>
      <c r="J7" s="2764"/>
    </row>
    <row r="8" spans="1:15" ht="12.75">
      <c r="A8" s="3495" t="s">
        <v>1479</v>
      </c>
      <c r="B8" s="3495">
        <v>15</v>
      </c>
      <c r="C8" s="3501"/>
      <c r="D8" s="3498"/>
      <c r="E8" s="12" t="s">
        <v>1480</v>
      </c>
      <c r="F8" s="2017"/>
      <c r="G8" s="2017"/>
      <c r="H8" s="2017"/>
      <c r="I8" s="2012"/>
      <c r="J8" s="2764"/>
    </row>
    <row r="9" spans="1:15" ht="12.75">
      <c r="A9" s="3495"/>
      <c r="B9" s="3495"/>
      <c r="C9" s="3503"/>
      <c r="D9" s="3498"/>
      <c r="E9" s="12" t="s">
        <v>1481</v>
      </c>
      <c r="F9" s="2017"/>
      <c r="G9" s="2017"/>
      <c r="H9" s="2017"/>
      <c r="I9" s="2012"/>
      <c r="J9" s="2764"/>
    </row>
    <row r="10" spans="1:15" ht="12.75">
      <c r="A10" s="3495" t="s">
        <v>1482</v>
      </c>
      <c r="B10" s="3495">
        <v>15</v>
      </c>
      <c r="C10" s="3501"/>
      <c r="D10" s="3498"/>
      <c r="E10" s="12" t="s">
        <v>1483</v>
      </c>
      <c r="F10" s="2017"/>
      <c r="G10" s="2017"/>
      <c r="H10" s="2017"/>
      <c r="I10" s="2012"/>
      <c r="J10" s="2764"/>
    </row>
    <row r="11" spans="1:15" ht="12.75">
      <c r="A11" s="3495"/>
      <c r="B11" s="3495"/>
      <c r="C11" s="3503"/>
      <c r="D11" s="3498"/>
      <c r="E11" s="12" t="s">
        <v>1484</v>
      </c>
      <c r="F11" s="2017"/>
      <c r="G11" s="2017"/>
      <c r="H11" s="2017"/>
      <c r="I11" s="2012"/>
      <c r="J11" s="2764"/>
    </row>
    <row r="12" spans="1:15" ht="12.75">
      <c r="A12" s="3495" t="s">
        <v>1485</v>
      </c>
      <c r="B12" s="3495">
        <v>15</v>
      </c>
      <c r="C12" s="3501"/>
      <c r="D12" s="3498"/>
      <c r="E12" s="12" t="s">
        <v>1486</v>
      </c>
      <c r="F12" s="2017"/>
      <c r="G12" s="2017"/>
      <c r="H12" s="2017"/>
      <c r="I12" s="2012"/>
      <c r="J12" s="2764"/>
    </row>
    <row r="13" spans="1:15" ht="12.75">
      <c r="A13" s="3495"/>
      <c r="B13" s="3495"/>
      <c r="C13" s="3503"/>
      <c r="D13" s="3498"/>
      <c r="E13" s="12" t="s">
        <v>1487</v>
      </c>
      <c r="F13" s="2017"/>
      <c r="G13" s="2017"/>
      <c r="H13" s="2017"/>
      <c r="I13" s="2012"/>
      <c r="J13" s="2764"/>
    </row>
    <row r="14" spans="1:15" ht="12.75">
      <c r="A14" s="3495" t="s">
        <v>1488</v>
      </c>
      <c r="B14" s="3495">
        <v>30</v>
      </c>
      <c r="C14" s="3501">
        <v>5</v>
      </c>
      <c r="D14" s="3498">
        <v>5</v>
      </c>
      <c r="E14" s="12" t="s">
        <v>1489</v>
      </c>
      <c r="F14" s="2017"/>
      <c r="G14" s="2017"/>
      <c r="H14" s="2017"/>
      <c r="I14" s="2012"/>
      <c r="J14" s="2764"/>
    </row>
    <row r="15" spans="1:15" ht="12.75">
      <c r="A15" s="3495"/>
      <c r="B15" s="3495"/>
      <c r="C15" s="3502"/>
      <c r="D15" s="3498"/>
      <c r="E15" s="12" t="s">
        <v>1490</v>
      </c>
      <c r="F15" s="2017"/>
      <c r="G15" s="2017"/>
      <c r="H15" s="2017"/>
      <c r="I15" s="2012"/>
      <c r="J15" s="2764"/>
    </row>
    <row r="16" spans="1:15" ht="12.75">
      <c r="A16" s="3495"/>
      <c r="B16" s="3495"/>
      <c r="C16" s="3503"/>
      <c r="D16" s="3498"/>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15" t="s">
        <v>2575</v>
      </c>
      <c r="F18" s="3516"/>
      <c r="G18" s="3516"/>
      <c r="H18" s="3516"/>
      <c r="I18" s="3516"/>
      <c r="J18" s="2765"/>
    </row>
    <row r="19" spans="1:36" ht="15">
      <c r="A19" s="2638" t="s">
        <v>1494</v>
      </c>
      <c r="B19" s="2639" t="s">
        <v>1495</v>
      </c>
      <c r="C19" s="2640">
        <f ca="1">SUMIF(INDIRECT("'"&amp;C4&amp;"'"&amp;"!A:A"),结果表!B19,INDIRECT("'"&amp;C4&amp;"'"&amp;"!B:B"))</f>
        <v>558</v>
      </c>
      <c r="D19" s="2641">
        <f ca="1">SUMIF(INDIRECT("'"&amp;D4&amp;"'"&amp;"!A:A"),结果表!B19,INDIRECT("'"&amp;D4&amp;"'"&amp;"!B:B"))</f>
        <v>557</v>
      </c>
      <c r="E19" s="2638" t="s">
        <v>1496</v>
      </c>
      <c r="F19" s="2639" t="s">
        <v>1495</v>
      </c>
      <c r="G19" s="2642">
        <f ca="1">ROUND(C19*$C$18+D19*$D$18,0)</f>
        <v>558</v>
      </c>
      <c r="H19" s="2643" t="str">
        <f>'数据-取费表'!B3</f>
        <v>万元</v>
      </c>
      <c r="I19" s="2691"/>
      <c r="J19" s="2766"/>
    </row>
    <row r="20" spans="1:36" ht="15">
      <c r="A20" s="2644"/>
      <c r="B20" s="1622" t="s">
        <v>1497</v>
      </c>
      <c r="C20" s="1847">
        <f ca="1">SUMIF(INDIRECT("'"&amp;C4&amp;"'"&amp;"!A:A"),结果表!B20,INDIRECT("'"&amp;C4&amp;"'"&amp;"!B:B"))</f>
        <v>31646</v>
      </c>
      <c r="D20" s="1850">
        <f ca="1">SUMIF(INDIRECT("'"&amp;D4&amp;"'"&amp;"!A:A"),结果表!B20,INDIRECT("'"&amp;D4&amp;"'"&amp;"!B:B"))</f>
        <v>31618</v>
      </c>
      <c r="E20" s="2644"/>
      <c r="F20" s="1622" t="s">
        <v>1497</v>
      </c>
      <c r="G20" s="2021">
        <f ca="1">ROUND(C20*$C$18+D20*$D$18,0)</f>
        <v>31632</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1.7953321364452268E-3</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4" t="s">
        <v>1500</v>
      </c>
      <c r="B24" s="2639" t="s">
        <v>1495</v>
      </c>
      <c r="C24" s="2642">
        <f>D30</f>
        <v>0</v>
      </c>
      <c r="D24" s="2594"/>
      <c r="E24" s="905"/>
      <c r="F24" s="905"/>
      <c r="G24" s="905"/>
      <c r="H24" s="905"/>
      <c r="I24" s="905"/>
      <c r="J24" s="2765"/>
    </row>
    <row r="25" spans="1:36" ht="21.75" customHeight="1">
      <c r="A25" s="3505"/>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2579</v>
      </c>
      <c r="F30" s="2481"/>
      <c r="G30" s="2481"/>
      <c r="H30" s="2481"/>
      <c r="I30" s="2481"/>
      <c r="J30" s="2765"/>
    </row>
    <row r="31" spans="1:36" s="2758" customFormat="1" ht="26.4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总价</v>
      </c>
      <c r="C32" s="2748">
        <f ca="1">IF(B32="总价",G19-C24,G20-C25)</f>
        <v>558</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取值（总价）</v>
      </c>
      <c r="G33" s="905"/>
      <c r="H33" s="905"/>
      <c r="I33" s="905"/>
      <c r="J33" s="2765"/>
    </row>
    <row r="34" spans="1:17" ht="15">
      <c r="A34" s="1394"/>
      <c r="B34" s="2666" t="s">
        <v>1509</v>
      </c>
      <c r="C34" s="2667">
        <f ca="1">IF(D33="自定义",F34,C32-C35)</f>
        <v>483</v>
      </c>
      <c r="D34" s="2668">
        <f ca="1">IF(D33="自定义",ROUND(C34/C32,3),1-D35)</f>
        <v>0.86499999999999999</v>
      </c>
      <c r="E34" s="1363" t="s">
        <v>1510</v>
      </c>
      <c r="F34" s="2669">
        <v>2000</v>
      </c>
      <c r="G34" s="905"/>
      <c r="H34" s="905"/>
      <c r="I34" s="905"/>
      <c r="J34" s="2765"/>
    </row>
    <row r="35" spans="1:17" ht="15.75" thickBot="1">
      <c r="A35" s="1395"/>
      <c r="B35" s="2670" t="s">
        <v>1511</v>
      </c>
      <c r="C35" s="2671">
        <f ca="1">IF(D33="自定义",F35,ROUND(C32*D35,0))</f>
        <v>75</v>
      </c>
      <c r="D35" s="2672">
        <f ca="1">IF(D33="自定义",ROUND(C35/C32,3),IF(D33="成本法成本比率",成本法!C56,IF(D33="收益法收益比率",收益法!J38,收益法!J41)))</f>
        <v>0.13500000000000001</v>
      </c>
      <c r="E35" s="2673" t="s">
        <v>1512</v>
      </c>
      <c r="F35" s="2674">
        <v>4460</v>
      </c>
      <c r="G35" s="905"/>
      <c r="H35" s="905"/>
      <c r="I35" s="905"/>
      <c r="J35" s="2765"/>
    </row>
    <row r="36" spans="1:17" ht="15.75" thickBot="1">
      <c r="A36" s="3504" t="s">
        <v>1513</v>
      </c>
      <c r="B36" s="1396" t="s">
        <v>1514</v>
      </c>
      <c r="C36" s="2675">
        <v>0</v>
      </c>
      <c r="D36" s="2676"/>
      <c r="E36" s="1608"/>
      <c r="F36" s="1608"/>
      <c r="G36" s="905"/>
      <c r="H36" s="905"/>
      <c r="I36" s="905"/>
      <c r="J36" s="2765"/>
    </row>
    <row r="37" spans="1:17" ht="15.75" thickBot="1">
      <c r="A37" s="3509"/>
      <c r="B37" s="2022" t="s">
        <v>1515</v>
      </c>
      <c r="C37" s="2677">
        <v>0</v>
      </c>
      <c r="D37" s="1239"/>
      <c r="E37" s="1239"/>
      <c r="F37" s="1608"/>
      <c r="G37" s="1239"/>
      <c r="H37" s="1239"/>
      <c r="I37" s="1239"/>
      <c r="J37" s="2769"/>
    </row>
    <row r="38" spans="1:17" ht="15.75" thickBot="1">
      <c r="A38" s="3510"/>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29" t="s">
        <v>1524</v>
      </c>
      <c r="B45" s="3430"/>
      <c r="C45" s="3440"/>
      <c r="D45" s="246">
        <f ca="1">ROUND(I102*F45,0)</f>
        <v>558</v>
      </c>
      <c r="E45" s="1470" t="s">
        <v>1525</v>
      </c>
      <c r="F45" s="2479">
        <v>1</v>
      </c>
      <c r="G45" s="2480" t="s">
        <v>1526</v>
      </c>
      <c r="H45" s="905"/>
      <c r="I45" s="905"/>
      <c r="J45" s="2765"/>
      <c r="K45" s="3435" t="s">
        <v>2504</v>
      </c>
      <c r="L45" s="3435"/>
      <c r="M45" s="3435"/>
      <c r="N45" s="3435"/>
      <c r="O45" s="3435"/>
      <c r="P45" s="3435"/>
      <c r="Q45" s="1236"/>
    </row>
    <row r="46" spans="1:17" ht="14.25" customHeight="1">
      <c r="A46" s="3506" t="s">
        <v>1528</v>
      </c>
      <c r="B46" s="3507"/>
      <c r="C46" s="3507"/>
      <c r="D46" s="3507"/>
      <c r="E46" s="3507"/>
      <c r="F46" s="3507"/>
      <c r="G46" s="3508"/>
      <c r="H46" s="2897"/>
      <c r="I46" s="905"/>
      <c r="J46" s="2765"/>
      <c r="K46" s="2454">
        <v>1</v>
      </c>
      <c r="L46" s="3436" t="s">
        <v>2505</v>
      </c>
      <c r="M46" s="3436"/>
      <c r="N46" s="3437" t="str">
        <f>项目基本情况!B1</f>
        <v>北京市房地产抵押价值预评估</v>
      </c>
      <c r="O46" s="3437"/>
      <c r="P46" s="3437"/>
      <c r="Q46" s="1236"/>
    </row>
    <row r="47" spans="1:17" ht="12" customHeight="1">
      <c r="A47" s="38" t="s">
        <v>1530</v>
      </c>
      <c r="B47" s="39"/>
      <c r="C47" s="40"/>
      <c r="D47" s="1028" t="s">
        <v>1531</v>
      </c>
      <c r="E47" s="235" t="s">
        <v>1532</v>
      </c>
      <c r="F47" s="41" t="s">
        <v>1533</v>
      </c>
      <c r="G47" s="2482" t="s">
        <v>1534</v>
      </c>
      <c r="H47" s="2897"/>
      <c r="I47" s="905"/>
      <c r="J47" s="2765"/>
      <c r="K47" s="2454">
        <v>2</v>
      </c>
      <c r="L47" s="3436" t="s">
        <v>2506</v>
      </c>
      <c r="M47" s="3436"/>
      <c r="N47" s="3438">
        <f>'数据-取费表'!B2</f>
        <v>44676</v>
      </c>
      <c r="O47" s="3438"/>
      <c r="P47" s="3438"/>
      <c r="Q47" s="1236"/>
    </row>
    <row r="48" spans="1:17" ht="25.5">
      <c r="A48" s="3511" t="s">
        <v>1536</v>
      </c>
      <c r="B48" s="3445"/>
      <c r="C48" s="3445"/>
      <c r="D48" s="12">
        <f ca="1">IF(H48="情况1",0,IF(H48="情况2",D52,IF(H48="情况3",D53,IF(H48="情况4",D54))))</f>
        <v>30</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36" t="s">
        <v>2507</v>
      </c>
      <c r="M48" s="3436"/>
      <c r="N48" s="3437">
        <f ca="1">I102</f>
        <v>558</v>
      </c>
      <c r="O48" s="3437"/>
      <c r="P48" s="3437"/>
      <c r="Q48" s="1236"/>
    </row>
    <row r="49" spans="1:17" ht="25.5" customHeight="1">
      <c r="A49" s="2019" t="s">
        <v>1540</v>
      </c>
      <c r="B49" s="3484" t="s">
        <v>1541</v>
      </c>
      <c r="C49" s="3484"/>
      <c r="D49" s="2486">
        <v>0</v>
      </c>
      <c r="E49" s="261" t="s">
        <v>1542</v>
      </c>
      <c r="F49" s="2487" t="s">
        <v>48</v>
      </c>
      <c r="G49" s="3426"/>
      <c r="H49" s="2488" t="s">
        <v>2581</v>
      </c>
      <c r="I49" s="2489"/>
      <c r="J49" s="2773"/>
      <c r="K49" s="2454">
        <v>4</v>
      </c>
      <c r="L49" s="3436" t="str">
        <f>IF(项目基本情况!F5="房地产抵押价值","房地产抵押价值","抵押担保权已注销时的房地产抵押价值")</f>
        <v>房地产抵押价值</v>
      </c>
      <c r="M49" s="3436"/>
      <c r="N49" s="3437">
        <f ca="1">IF(项目基本情况!F5="房地产抵押价值",I110,I112)</f>
        <v>558</v>
      </c>
      <c r="O49" s="3437"/>
      <c r="P49" s="3437"/>
      <c r="Q49" s="1236"/>
    </row>
    <row r="50" spans="1:17" ht="25.5" customHeight="1">
      <c r="A50" s="2009"/>
      <c r="B50" s="3484" t="s">
        <v>1543</v>
      </c>
      <c r="C50" s="3484"/>
      <c r="D50" s="2490"/>
      <c r="E50" s="269"/>
      <c r="F50" s="2487"/>
      <c r="G50" s="3427"/>
      <c r="H50" s="2491" t="s">
        <v>2500</v>
      </c>
      <c r="I50" s="2489"/>
      <c r="J50" s="2773"/>
      <c r="K50" s="3436" t="s">
        <v>2508</v>
      </c>
      <c r="L50" s="3436"/>
      <c r="M50" s="3436"/>
      <c r="N50" s="3436"/>
      <c r="O50" s="3436"/>
      <c r="P50" s="3436"/>
      <c r="Q50" s="1236"/>
    </row>
    <row r="51" spans="1:17" ht="20.45" customHeight="1">
      <c r="A51" s="2492"/>
      <c r="B51" s="3484" t="s">
        <v>1545</v>
      </c>
      <c r="C51" s="3484"/>
      <c r="D51" s="1028"/>
      <c r="E51" s="264"/>
      <c r="F51" s="2487"/>
      <c r="G51" s="3428"/>
      <c r="H51" s="2491" t="s">
        <v>2501</v>
      </c>
      <c r="I51" s="2489"/>
      <c r="J51" s="2773"/>
      <c r="K51" s="2455" t="s">
        <v>2509</v>
      </c>
      <c r="L51" s="3436" t="s">
        <v>2510</v>
      </c>
      <c r="M51" s="3436"/>
      <c r="N51" s="2455" t="s">
        <v>2511</v>
      </c>
      <c r="O51" s="2455" t="s">
        <v>2512</v>
      </c>
      <c r="P51" s="2455" t="s">
        <v>2513</v>
      </c>
      <c r="Q51" s="1236"/>
    </row>
    <row r="52" spans="1:17" ht="24" customHeight="1">
      <c r="A52" s="2010" t="s">
        <v>1551</v>
      </c>
      <c r="B52" s="3484" t="s">
        <v>1552</v>
      </c>
      <c r="C52" s="3484"/>
      <c r="D52" s="1028">
        <f ca="1">ROUND(D45*'数据-取费表'!E29/(1+'数据-取费表'!F30),0)</f>
        <v>30</v>
      </c>
      <c r="E52" s="2020" t="s">
        <v>1553</v>
      </c>
      <c r="F52" s="2493">
        <f>'数据-取费表'!E29</f>
        <v>5.6000000000000001E-2</v>
      </c>
      <c r="G52" s="2494"/>
      <c r="H52" s="905"/>
      <c r="I52" s="2898"/>
      <c r="J52" s="2773"/>
      <c r="K52" s="2454">
        <v>1</v>
      </c>
      <c r="L52" s="3425" t="s">
        <v>2514</v>
      </c>
      <c r="M52" s="3425"/>
      <c r="N52" s="2456">
        <f ca="1">D48</f>
        <v>30</v>
      </c>
      <c r="O52" s="2454" t="str">
        <f>E48</f>
        <v>销售额×税（费）率</v>
      </c>
      <c r="P52" s="2457">
        <f>F48</f>
        <v>5.6000000000000001E-2</v>
      </c>
      <c r="Q52" s="1236"/>
    </row>
    <row r="53" spans="1:17" ht="12" customHeight="1">
      <c r="A53" s="2010" t="s">
        <v>1555</v>
      </c>
      <c r="B53" s="3496" t="s">
        <v>2592</v>
      </c>
      <c r="C53" s="3485"/>
      <c r="D53" s="1028">
        <f ca="1">ROUND(D45*'数据-取费表'!E29/(1+'数据-取费表'!F30),0)</f>
        <v>30</v>
      </c>
      <c r="E53" s="2020" t="s">
        <v>1553</v>
      </c>
      <c r="F53" s="2493">
        <f>'数据-取费表'!E29</f>
        <v>5.6000000000000001E-2</v>
      </c>
      <c r="G53" s="2494"/>
      <c r="H53" s="905"/>
      <c r="I53" s="2898"/>
      <c r="J53" s="2773"/>
      <c r="K53" s="2454">
        <v>2</v>
      </c>
      <c r="L53" s="3425" t="s">
        <v>2515</v>
      </c>
      <c r="M53" s="3425"/>
      <c r="N53" s="2456">
        <f t="shared" ref="N53:P54" si="1">D55</f>
        <v>0</v>
      </c>
      <c r="O53" s="2454" t="str">
        <f t="shared" si="1"/>
        <v>销售额×税（费）率</v>
      </c>
      <c r="P53" s="2457" t="str">
        <f t="shared" si="1"/>
        <v>免征</v>
      </c>
      <c r="Q53" s="1236"/>
    </row>
    <row r="54" spans="1:17" ht="12" customHeight="1">
      <c r="A54" s="2010" t="s">
        <v>1557</v>
      </c>
      <c r="B54" s="3496" t="s">
        <v>2593</v>
      </c>
      <c r="C54" s="3485"/>
      <c r="D54" s="1028">
        <f ca="1">C68</f>
        <v>30</v>
      </c>
      <c r="E54" s="264" t="s">
        <v>1558</v>
      </c>
      <c r="F54" s="2493">
        <f>'数据-取费表'!E29</f>
        <v>5.6000000000000001E-2</v>
      </c>
      <c r="G54" s="2494"/>
      <c r="H54" s="2899"/>
      <c r="I54" s="2898"/>
      <c r="J54" s="2773"/>
      <c r="K54" s="2454">
        <v>3</v>
      </c>
      <c r="L54" s="3425" t="s">
        <v>2516</v>
      </c>
      <c r="M54" s="3425"/>
      <c r="N54" s="2456">
        <f t="shared" si="1"/>
        <v>0</v>
      </c>
      <c r="O54" s="2454" t="str">
        <f t="shared" si="1"/>
        <v>增值额×税（费）率</v>
      </c>
      <c r="P54" s="2458" t="str">
        <f t="shared" si="1"/>
        <v>免征</v>
      </c>
      <c r="Q54" s="1236"/>
    </row>
    <row r="55" spans="1:17" ht="24" customHeight="1">
      <c r="A55" s="3449" t="s">
        <v>1560</v>
      </c>
      <c r="B55" s="3445"/>
      <c r="C55" s="3445"/>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25" t="str">
        <f>IF(H59="非个人房产","——","个人所得税")</f>
        <v>——</v>
      </c>
      <c r="M55" s="3425"/>
      <c r="N55" s="2459" t="str">
        <f>D59</f>
        <v>——</v>
      </c>
      <c r="O55" s="2460" t="str">
        <f>E59</f>
        <v>——</v>
      </c>
      <c r="P55" s="2461" t="str">
        <f>F59</f>
        <v>——</v>
      </c>
      <c r="Q55" s="1236"/>
    </row>
    <row r="56" spans="1:17" ht="24.75">
      <c r="A56" s="3449" t="s">
        <v>1563</v>
      </c>
      <c r="B56" s="3445"/>
      <c r="C56" s="3445"/>
      <c r="D56" s="12">
        <f>IF(H56="个人住宅",D57,D58)</f>
        <v>0</v>
      </c>
      <c r="E56" s="2020" t="s">
        <v>1564</v>
      </c>
      <c r="F56" s="2493" t="str">
        <f>IF(H56="正常",F58,"免征")</f>
        <v>免征</v>
      </c>
      <c r="G56" s="2495" t="s">
        <v>1565</v>
      </c>
      <c r="H56" s="2496" t="s">
        <v>2497</v>
      </c>
      <c r="I56" s="2900"/>
      <c r="J56" s="2773"/>
      <c r="K56" s="2454" t="str">
        <f>IF(项目基本情况!I6="上海银行",IF(K55="",4,K55+1),"")</f>
        <v/>
      </c>
      <c r="L56" s="3423" t="str">
        <f>IF(项目基本情况!I6="上海银行","其他处置费用","")</f>
        <v/>
      </c>
      <c r="M56" s="3443"/>
      <c r="N56" s="2456" t="str">
        <f>IF(项目基本情况!I6="上海银行",N69,"")</f>
        <v/>
      </c>
      <c r="O56" s="3423" t="str">
        <f>IF(项目基本情况!I6="上海银行","包含处置中涉及的律师、诉讼、拍卖、评估等费用","")</f>
        <v/>
      </c>
      <c r="P56" s="3424"/>
      <c r="Q56" s="1236"/>
    </row>
    <row r="57" spans="1:17" ht="12.75">
      <c r="A57" s="2010" t="s">
        <v>1540</v>
      </c>
      <c r="B57" s="3496" t="s">
        <v>1566</v>
      </c>
      <c r="C57" s="3485"/>
      <c r="D57" s="2486">
        <v>0</v>
      </c>
      <c r="E57" s="261" t="s">
        <v>1542</v>
      </c>
      <c r="F57" s="235"/>
      <c r="G57" s="2494"/>
      <c r="H57" s="2900"/>
      <c r="I57" s="2900"/>
      <c r="J57" s="2773"/>
      <c r="K57" s="3425">
        <f>IF(AND(K55="",K56=""),4,IF(项目基本情况!I6="上海银行",K56+1,K55+1))</f>
        <v>4</v>
      </c>
      <c r="L57" s="3425" t="s">
        <v>2517</v>
      </c>
      <c r="M57" s="2462" t="s">
        <v>2518</v>
      </c>
      <c r="N57" s="2463"/>
      <c r="O57" s="2464">
        <f ca="1">SUMIF(N52:N56,"&lt;9e307")</f>
        <v>30</v>
      </c>
      <c r="P57" s="2465"/>
      <c r="Q57" s="1234">
        <f ca="1">O57/N49</f>
        <v>5.3763440860215055E-2</v>
      </c>
    </row>
    <row r="58" spans="1:17" ht="24.75">
      <c r="A58" s="2010" t="s">
        <v>1551</v>
      </c>
      <c r="B58" s="3496" t="s">
        <v>1569</v>
      </c>
      <c r="C58" s="3484"/>
      <c r="D58" s="12">
        <f ca="1">IF(H58="转让取得",C81,C97)</f>
        <v>316</v>
      </c>
      <c r="E58" s="2020" t="s">
        <v>1564</v>
      </c>
      <c r="F58" s="235" t="s">
        <v>48</v>
      </c>
      <c r="G58" s="2494"/>
      <c r="H58" s="2496" t="s">
        <v>1570</v>
      </c>
      <c r="I58" s="2900"/>
      <c r="J58" s="2773"/>
      <c r="K58" s="3425"/>
      <c r="L58" s="3425"/>
      <c r="M58" s="2462" t="s">
        <v>2519</v>
      </c>
      <c r="N58" s="2466"/>
      <c r="O58" s="2467" t="str">
        <f ca="1">IF(H19="元",NUMBERSTRING(INT(O57),2)&amp;"元整",NUMBERSTRING(INT(O57*10000),2)&amp;"元整")</f>
        <v>叁拾万元整</v>
      </c>
      <c r="P58" s="2468"/>
      <c r="Q58" s="1236"/>
    </row>
    <row r="59" spans="1:17" ht="24.75" thickBot="1">
      <c r="A59" s="3512" t="s">
        <v>1572</v>
      </c>
      <c r="B59" s="3513"/>
      <c r="C59" s="3513"/>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78">
        <f>K57+1</f>
        <v>5</v>
      </c>
      <c r="L59" s="3425" t="s">
        <v>2520</v>
      </c>
      <c r="M59" s="2454" t="s">
        <v>2518</v>
      </c>
      <c r="N59" s="2469"/>
      <c r="O59" s="2470">
        <f ca="1">N49-O57</f>
        <v>528</v>
      </c>
      <c r="P59" s="2471"/>
      <c r="Q59" s="1236"/>
    </row>
    <row r="60" spans="1:17" ht="12" customHeight="1">
      <c r="A60" s="1385"/>
      <c r="B60" s="1389"/>
      <c r="C60" s="1389"/>
      <c r="D60" s="1389"/>
      <c r="E60" s="770"/>
      <c r="F60" s="2901"/>
      <c r="G60" s="2901"/>
      <c r="H60" s="2902"/>
      <c r="I60" s="31"/>
      <c r="K60" s="3479"/>
      <c r="L60" s="3425"/>
      <c r="M60" s="2462" t="s">
        <v>2519</v>
      </c>
      <c r="N60" s="2466"/>
      <c r="O60" s="2467" t="str">
        <f ca="1">IF(H19="元",NUMBERSTRING(INT(O59),2)&amp;"元整",NUMBERSTRING(INT(O59*10000),2)&amp;"元整")</f>
        <v>伍佰贰拾捌万元整</v>
      </c>
      <c r="P60" s="2468"/>
      <c r="Q60" s="1236"/>
    </row>
    <row r="61" spans="1:17" ht="13.5" thickBot="1">
      <c r="A61" s="3514" t="s">
        <v>1574</v>
      </c>
      <c r="B61" s="3514"/>
      <c r="C61" s="3514"/>
      <c r="D61" s="3514"/>
      <c r="E61" s="3514"/>
      <c r="F61" s="2901"/>
      <c r="G61" s="2901"/>
      <c r="H61" s="2903"/>
      <c r="I61" s="31"/>
      <c r="K61" s="2454">
        <f>K59+1</f>
        <v>6</v>
      </c>
      <c r="L61" s="3425" t="s">
        <v>2521</v>
      </c>
      <c r="M61" s="3425"/>
      <c r="N61" s="2472"/>
      <c r="O61" s="2473">
        <f ca="1">IF(H19="元",ROUND(O59/项目基本情况!C12,0),ROUND(O59*10000/项目基本情况!C12,0))</f>
        <v>29951</v>
      </c>
      <c r="P61" s="2474"/>
      <c r="Q61" s="1236"/>
    </row>
    <row r="62" spans="1:17" ht="12.75">
      <c r="A62" s="3463" t="s">
        <v>1576</v>
      </c>
      <c r="B62" s="3464"/>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531</v>
      </c>
      <c r="D63" s="47"/>
      <c r="E63" s="48"/>
      <c r="F63" s="2901"/>
      <c r="G63" s="2901"/>
      <c r="H63" s="2903"/>
      <c r="I63" s="31"/>
      <c r="K63" s="3444" t="s">
        <v>2522</v>
      </c>
      <c r="L63" s="2476" t="s">
        <v>2523</v>
      </c>
      <c r="M63" s="2476">
        <f ca="1">IF(N49&gt;10000,N49*0.5%,IF(AND(N49&gt;1000,N49&lt;=10000),N49*1%,IF(AND(N49&gt;100,N49&lt;=1000),N49*3%,IF(AND(N49&gt;10,N49&lt;=100),N49*5%,N49*8%))))</f>
        <v>16.739999999999998</v>
      </c>
      <c r="N63" s="2477">
        <f ca="1">ROUND(M63,1)</f>
        <v>16.7</v>
      </c>
      <c r="O63" s="2475"/>
      <c r="P63" s="2475"/>
      <c r="Q63" s="1236"/>
    </row>
    <row r="64" spans="1:17" ht="12.75">
      <c r="A64" s="49" t="s">
        <v>71</v>
      </c>
      <c r="B64" s="50" t="s">
        <v>1582</v>
      </c>
      <c r="C64" s="2705">
        <f ca="1">D45</f>
        <v>558</v>
      </c>
      <c r="D64" s="50" t="s">
        <v>41</v>
      </c>
      <c r="E64" s="52"/>
      <c r="F64" s="2901"/>
      <c r="G64" s="2901"/>
      <c r="H64" s="2903"/>
      <c r="I64" s="31"/>
      <c r="K64" s="3444"/>
      <c r="L64" s="2476" t="s">
        <v>2524</v>
      </c>
      <c r="M64" s="2476">
        <f ca="1">IF(N49&gt;2000,N49*0.5%,IF(AND(N49&gt;1000,N49&lt;=2000),N49*0.6%,IF(AND(N49&gt;500,N49&lt;=1000),N49*0.7%,IF(AND(N49&gt;200,N49&lt;=500),N49*0.8%,IF(AND(N49&gt;100,N49&lt;=200),N49*0.9%,IF(AND(N49&gt;50,N49&lt;=100),N49*1%,IF(AND(N49&gt;20,N49&lt;=50),N49*1.5%,IF(AND(N49&gt;10,N49&lt;=20),N49*2%,IF(AND(N49&gt;1,N49&lt;=10),N49*2.5%)))))))))</f>
        <v>3.9059999999999997</v>
      </c>
      <c r="N64" s="2477">
        <f t="shared" ref="N64:N65" ca="1" si="2">ROUND(M64,1)</f>
        <v>3.9</v>
      </c>
      <c r="O64" s="2475" t="s">
        <v>2525</v>
      </c>
      <c r="P64" s="2475"/>
      <c r="Q64" s="1236"/>
    </row>
    <row r="65" spans="1:36" ht="12.75">
      <c r="A65" s="49" t="s">
        <v>72</v>
      </c>
      <c r="B65" s="50" t="s">
        <v>1585</v>
      </c>
      <c r="C65" s="2706"/>
      <c r="D65" s="50"/>
      <c r="E65" s="52"/>
      <c r="F65" s="2901"/>
      <c r="G65" s="2901"/>
      <c r="H65" s="2903"/>
      <c r="I65" s="31"/>
      <c r="K65" s="3444"/>
      <c r="L65" s="2476" t="s">
        <v>2526</v>
      </c>
      <c r="M65" s="2476">
        <f ca="1">IF(N49&gt;1000,N49*0.1%,IF(AND(N49&gt;500,N49&lt;=1000),N49*0.5%,IF(AND(N49&gt;50,N49&lt;=500),N49*1%,IF(AND(N49&gt;1,N49&lt;=50),N49*1.5%))))</f>
        <v>2.79</v>
      </c>
      <c r="N65" s="2477">
        <f t="shared" ca="1" si="2"/>
        <v>2.8</v>
      </c>
      <c r="O65" s="2475" t="s">
        <v>2525</v>
      </c>
      <c r="P65" s="2475"/>
      <c r="Q65" s="1236"/>
    </row>
    <row r="66" spans="1:36" ht="12.75">
      <c r="A66" s="53" t="s">
        <v>47</v>
      </c>
      <c r="B66" s="54" t="s">
        <v>1587</v>
      </c>
      <c r="C66" s="2707"/>
      <c r="D66" s="54" t="s">
        <v>41</v>
      </c>
      <c r="E66" s="1244" t="s">
        <v>1588</v>
      </c>
      <c r="F66" s="2901"/>
      <c r="G66" s="2901"/>
      <c r="H66" s="2903"/>
      <c r="I66" s="31"/>
      <c r="K66" s="3444"/>
      <c r="L66" s="2476" t="s">
        <v>2527</v>
      </c>
      <c r="M66" s="2476">
        <f ca="1">N49*0.5%</f>
        <v>2.79</v>
      </c>
      <c r="N66" s="2477">
        <f ca="1">IF(M66&gt;0.5,0.5,ROUND(M66,0))</f>
        <v>0.5</v>
      </c>
      <c r="O66" s="2475" t="s">
        <v>2528</v>
      </c>
      <c r="P66" s="2475"/>
      <c r="Q66" s="1236"/>
    </row>
    <row r="67" spans="1:36" ht="12.75">
      <c r="A67" s="53" t="s">
        <v>42</v>
      </c>
      <c r="B67" s="54" t="s">
        <v>1591</v>
      </c>
      <c r="C67" s="2708">
        <f ca="1">C63-C66</f>
        <v>531</v>
      </c>
      <c r="D67" s="50" t="s">
        <v>41</v>
      </c>
      <c r="E67" s="52"/>
      <c r="F67" s="2901"/>
      <c r="G67" s="2901"/>
      <c r="H67" s="2903"/>
      <c r="I67" s="31"/>
      <c r="K67" s="3444"/>
      <c r="L67" s="2476" t="s">
        <v>2529</v>
      </c>
      <c r="M67" s="2476">
        <f ca="1">IF(N49&gt;=10000,(8.25+(N49-10000)*0.01%),IF(AND(N49&gt;=8000,N49&lt;10000),(7.85+(N49-8000)*0.02%),IF(AND(N49&gt;=5000,N49&lt;8000),(6.65+(N49-5000)*0.04%),IF(AND(N49&gt;=2000,N49&lt;5000),(4.25+(PN49-2000)*0.08%),IF(AND(N49&gt;=1000,N49&lt;2000),(2.75+(N49-1000)*0.15%),IF(AND(N49&gt;=100,N49&lt;1000),(0.5+(N49-100)*0.25%),IF(AND(N49&gt;0,N49&lt;100),N49*0.5%)))))))</f>
        <v>1.645</v>
      </c>
      <c r="N67" s="2477">
        <f ca="1">ROUND(M67*0.9,1)</f>
        <v>1.5</v>
      </c>
      <c r="O67" s="2475"/>
      <c r="P67" s="2475"/>
      <c r="Q67" s="1236"/>
    </row>
    <row r="68" spans="1:36" ht="13.5" thickBot="1">
      <c r="A68" s="55" t="s">
        <v>46</v>
      </c>
      <c r="B68" s="56" t="s">
        <v>1593</v>
      </c>
      <c r="C68" s="2709">
        <f ca="1">IF(C67&lt;=0,0,ROUND(C67*D68,0))</f>
        <v>30</v>
      </c>
      <c r="D68" s="2170">
        <f>'数据-取费表'!E29</f>
        <v>5.6000000000000001E-2</v>
      </c>
      <c r="E68" s="57"/>
      <c r="F68" s="2901"/>
      <c r="G68" s="2901"/>
      <c r="H68" s="2903"/>
      <c r="I68" s="31"/>
      <c r="K68" s="3444"/>
      <c r="L68" s="2476" t="s">
        <v>2530</v>
      </c>
      <c r="M68" s="2476">
        <f ca="1">IF(N49&gt;10000,N49*0.5%,IF(AND(N49&gt;5000,N49&lt;=10000),N49*1%,IF(AND(N49&gt;1000,N49&lt;=5000),N49*2%,IF(AND(N49&gt;200,N49&lt;=1000),N49*3%,N49*5%))))</f>
        <v>16.739999999999998</v>
      </c>
      <c r="N68" s="2477">
        <f ca="1">ROUND(M68,1)</f>
        <v>16.7</v>
      </c>
      <c r="O68" s="2475"/>
      <c r="P68" s="2475"/>
      <c r="Q68" s="1236"/>
    </row>
    <row r="69" spans="1:36" s="1393" customFormat="1" ht="7.5" customHeight="1">
      <c r="A69" s="1405"/>
      <c r="B69" s="1406"/>
      <c r="C69" s="1407"/>
      <c r="D69" s="1408"/>
      <c r="E69" s="1409"/>
      <c r="F69" s="770"/>
      <c r="G69" s="770"/>
      <c r="H69" s="1398"/>
      <c r="I69" s="1389"/>
      <c r="J69" s="2761"/>
      <c r="K69" s="3444"/>
      <c r="L69" s="2476" t="s">
        <v>54</v>
      </c>
      <c r="M69" s="2476"/>
      <c r="N69" s="2477">
        <f ca="1">ROUND(SUM(N63:N68),0)</f>
        <v>42</v>
      </c>
      <c r="O69" s="2478">
        <f ca="1">N69/N49</f>
        <v>7.5268817204301078E-2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5" t="s">
        <v>1596</v>
      </c>
      <c r="B70" s="3466"/>
      <c r="C70" s="3466"/>
      <c r="D70" s="3466"/>
      <c r="E70" s="3466"/>
      <c r="F70" s="3466"/>
      <c r="G70" s="3466"/>
      <c r="H70" s="3466"/>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3" t="s">
        <v>1576</v>
      </c>
      <c r="B71" s="3464"/>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531</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3</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96" t="s">
        <v>1606</v>
      </c>
      <c r="F76" s="3484"/>
      <c r="G76" s="3484"/>
      <c r="H76" s="3497"/>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3</v>
      </c>
      <c r="D78" s="2717">
        <f>'数据-取费表'!E31</f>
        <v>6.000000000000001E-3</v>
      </c>
      <c r="E78" s="3432" t="s">
        <v>1611</v>
      </c>
      <c r="F78" s="3433"/>
      <c r="G78" s="3433"/>
      <c r="H78" s="3453"/>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528</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176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316</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5" t="s">
        <v>1615</v>
      </c>
      <c r="B83" s="3466"/>
      <c r="C83" s="3466"/>
      <c r="D83" s="3466"/>
      <c r="E83" s="3466"/>
      <c r="F83" s="3466"/>
      <c r="G83" s="3466"/>
      <c r="H83" s="3466"/>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3" t="s">
        <v>1576</v>
      </c>
      <c r="B84" s="3464"/>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531</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3</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72" t="s">
        <v>2492</v>
      </c>
      <c r="H90" s="3472"/>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32" t="s">
        <v>1623</v>
      </c>
      <c r="F91" s="3433"/>
      <c r="G91" s="3433"/>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32" t="s">
        <v>1626</v>
      </c>
      <c r="F92" s="3433"/>
      <c r="G92" s="3433"/>
      <c r="H92" s="3453"/>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3</v>
      </c>
      <c r="D93" s="2717">
        <f>'数据-取费表'!E31</f>
        <v>6.000000000000001E-3</v>
      </c>
      <c r="E93" s="3432" t="s">
        <v>1611</v>
      </c>
      <c r="F93" s="3433"/>
      <c r="G93" s="3433"/>
      <c r="H93" s="3453"/>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32" t="s">
        <v>1628</v>
      </c>
      <c r="F94" s="3433"/>
      <c r="G94" s="3433"/>
      <c r="H94" s="3453"/>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528</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176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316</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50" t="s">
        <v>1630</v>
      </c>
      <c r="B99" s="3451"/>
      <c r="C99" s="3451"/>
      <c r="D99" s="3452"/>
      <c r="E99" s="1389"/>
      <c r="F99" s="3460" t="s">
        <v>1631</v>
      </c>
      <c r="G99" s="3461"/>
      <c r="H99" s="3461"/>
      <c r="I99" s="3462"/>
      <c r="J99" s="2779"/>
    </row>
    <row r="100" spans="1:36" ht="15">
      <c r="A100" s="3467" t="s">
        <v>1632</v>
      </c>
      <c r="B100" s="3468"/>
      <c r="C100" s="1235" t="str">
        <f>C4</f>
        <v>比较法-办公</v>
      </c>
      <c r="D100" s="2727" t="str">
        <f>D4</f>
        <v>收益法</v>
      </c>
      <c r="E100" s="1389"/>
      <c r="F100" s="3469" t="s">
        <v>2536</v>
      </c>
      <c r="G100" s="3471"/>
      <c r="H100" s="3469" t="s">
        <v>2537</v>
      </c>
      <c r="I100" s="3470"/>
      <c r="J100" s="2780"/>
    </row>
    <row r="101" spans="1:36" ht="12.75">
      <c r="A101" s="3486" t="s">
        <v>2569</v>
      </c>
      <c r="B101" s="2235" t="str">
        <f>IF(H19="元","总价（元）","总价（万元）")</f>
        <v>总价（万元）</v>
      </c>
      <c r="C101" s="1235">
        <f ca="1">C19</f>
        <v>558</v>
      </c>
      <c r="D101" s="2727">
        <f ca="1">D19</f>
        <v>557</v>
      </c>
      <c r="E101" s="1389"/>
      <c r="F101" s="3469" t="str">
        <f>项目基本情况!I1</f>
        <v>北京市房地产</v>
      </c>
      <c r="G101" s="3471"/>
      <c r="H101" s="3473">
        <f>项目基本情况!C12</f>
        <v>176.29</v>
      </c>
      <c r="I101" s="3470"/>
      <c r="J101" s="2780"/>
    </row>
    <row r="102" spans="1:36" ht="12.75">
      <c r="A102" s="3486"/>
      <c r="B102" s="2235" t="s">
        <v>2570</v>
      </c>
      <c r="C102" s="2728">
        <f ca="1">C20</f>
        <v>31646</v>
      </c>
      <c r="D102" s="2729">
        <f ca="1">D20</f>
        <v>31618</v>
      </c>
      <c r="E102" s="1389"/>
      <c r="F102" s="3456" t="s">
        <v>2566</v>
      </c>
      <c r="G102" s="3457"/>
      <c r="H102" s="2737" t="str">
        <f>C106</f>
        <v>总价（万元）</v>
      </c>
      <c r="I102" s="2738">
        <f ca="1">H121</f>
        <v>558</v>
      </c>
      <c r="J102" s="2780"/>
    </row>
    <row r="103" spans="1:36" ht="12.75">
      <c r="A103" s="3486" t="s">
        <v>2571</v>
      </c>
      <c r="B103" s="2173" t="str">
        <f>B101</f>
        <v>总价（万元）</v>
      </c>
      <c r="C103" s="2732">
        <f ca="1">H121</f>
        <v>558</v>
      </c>
      <c r="D103" s="2730"/>
      <c r="E103" s="1389"/>
      <c r="F103" s="3456"/>
      <c r="G103" s="3457"/>
      <c r="H103" s="2737" t="s">
        <v>2539</v>
      </c>
      <c r="I103" s="52">
        <f ca="1">I121</f>
        <v>31652</v>
      </c>
      <c r="J103" s="2764"/>
    </row>
    <row r="104" spans="1:36" ht="13.5" thickBot="1">
      <c r="A104" s="3487"/>
      <c r="B104" s="2734" t="s">
        <v>2570</v>
      </c>
      <c r="C104" s="2735">
        <f ca="1">I121</f>
        <v>31652</v>
      </c>
      <c r="D104" s="2736"/>
      <c r="E104" s="1389"/>
      <c r="F104" s="3456"/>
      <c r="G104" s="3457"/>
      <c r="H104" s="3488"/>
      <c r="I104" s="3489"/>
      <c r="J104" s="2781"/>
    </row>
    <row r="105" spans="1:36" ht="15">
      <c r="A105" s="3450" t="s">
        <v>1633</v>
      </c>
      <c r="B105" s="3451"/>
      <c r="C105" s="3451"/>
      <c r="D105" s="3452"/>
      <c r="E105" s="1389"/>
      <c r="F105" s="3492" t="s">
        <v>2540</v>
      </c>
      <c r="G105" s="3493"/>
      <c r="H105" s="2739" t="str">
        <f>C108</f>
        <v>总额（万元）</v>
      </c>
      <c r="I105" s="2738">
        <f>SUMIF(I106:I108,"&lt;9E307")</f>
        <v>0</v>
      </c>
      <c r="J105" s="2780"/>
    </row>
    <row r="106" spans="1:36" ht="14.25">
      <c r="A106" s="3456" t="s">
        <v>2563</v>
      </c>
      <c r="B106" s="3457"/>
      <c r="C106" s="2737" t="str">
        <f>B101</f>
        <v>总价（万元）</v>
      </c>
      <c r="D106" s="2738">
        <f ca="1">H121</f>
        <v>558</v>
      </c>
      <c r="E106" s="1389"/>
      <c r="F106" s="3458" t="s">
        <v>2541</v>
      </c>
      <c r="G106" s="3459"/>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6"/>
      <c r="B107" s="3457"/>
      <c r="C107" s="2737" t="s">
        <v>2564</v>
      </c>
      <c r="D107" s="52">
        <f ca="1">I121</f>
        <v>31652</v>
      </c>
      <c r="E107" s="1389"/>
      <c r="F107" s="3458" t="s">
        <v>2542</v>
      </c>
      <c r="G107" s="3459"/>
      <c r="H107" s="2739" t="str">
        <f>C110</f>
        <v>总额（万元）</v>
      </c>
      <c r="I107" s="52">
        <f>C37</f>
        <v>0</v>
      </c>
      <c r="J107" s="2764"/>
    </row>
    <row r="108" spans="1:36" ht="12.75">
      <c r="A108" s="3527" t="s">
        <v>2540</v>
      </c>
      <c r="B108" s="3528"/>
      <c r="C108" s="2739" t="str">
        <f>IF(H19="元","总额（元）","总额（万元）")</f>
        <v>总额（万元）</v>
      </c>
      <c r="D108" s="2738">
        <f>IF(D36="正常操作",I106+I107+I108,I107+I108)</f>
        <v>0</v>
      </c>
      <c r="E108" s="1389"/>
      <c r="F108" s="3458" t="s">
        <v>2567</v>
      </c>
      <c r="G108" s="3459"/>
      <c r="H108" s="2739" t="str">
        <f>C111</f>
        <v>总额（万元）</v>
      </c>
      <c r="I108" s="52">
        <f>C38</f>
        <v>0</v>
      </c>
      <c r="J108" s="2764"/>
    </row>
    <row r="109" spans="1:36" ht="12.75">
      <c r="A109" s="3458" t="s">
        <v>2541</v>
      </c>
      <c r="B109" s="3459"/>
      <c r="C109" s="2739" t="str">
        <f>C108</f>
        <v>总额（万元）</v>
      </c>
      <c r="D109" s="52">
        <f>IF(D36="同一抵押权人同一抵押物续贷",C36&amp;"（未扣减，详见特别提示）",C36)</f>
        <v>0</v>
      </c>
      <c r="E109" s="1389"/>
      <c r="F109" s="3456"/>
      <c r="G109" s="3457"/>
      <c r="H109" s="3490"/>
      <c r="I109" s="3491"/>
      <c r="J109" s="2782"/>
    </row>
    <row r="110" spans="1:36" ht="28.5" customHeight="1">
      <c r="A110" s="3458" t="s">
        <v>2565</v>
      </c>
      <c r="B110" s="3459"/>
      <c r="C110" s="2739" t="str">
        <f>C108</f>
        <v>总额（万元）</v>
      </c>
      <c r="D110" s="52">
        <f>C37</f>
        <v>0</v>
      </c>
      <c r="E110" s="1389"/>
      <c r="F110" s="3439" t="str">
        <f>IF(项目基本情况!F5="已注销","——","3.房地产抵押价值")</f>
        <v>3.房地产抵押价值</v>
      </c>
      <c r="G110" s="3440"/>
      <c r="H110" s="2725" t="str">
        <f>C112</f>
        <v>总价（万元）</v>
      </c>
      <c r="I110" s="2738">
        <f ca="1">IF(F110="——","——",I102-I105)</f>
        <v>558</v>
      </c>
      <c r="J110" s="2780"/>
    </row>
    <row r="111" spans="1:36" ht="12.75">
      <c r="A111" s="3458" t="s">
        <v>2544</v>
      </c>
      <c r="B111" s="3459"/>
      <c r="C111" s="2739" t="str">
        <f>C108</f>
        <v>总额（万元）</v>
      </c>
      <c r="D111" s="52">
        <f>C38</f>
        <v>0</v>
      </c>
      <c r="E111" s="1389"/>
      <c r="F111" s="3441"/>
      <c r="G111" s="3442"/>
      <c r="H111" s="2737" t="s">
        <v>2539</v>
      </c>
      <c r="I111" s="2741">
        <f ca="1">D113</f>
        <v>31652</v>
      </c>
      <c r="J111" s="2783"/>
    </row>
    <row r="112" spans="1:36" ht="26.25" customHeight="1">
      <c r="A112" s="3456" t="str">
        <f>IF(项目基本情况!F5="已注销","——","3.房地产抵押价值")</f>
        <v>3.房地产抵押价值</v>
      </c>
      <c r="B112" s="3457"/>
      <c r="C112" s="2737" t="str">
        <f>B101</f>
        <v>总价（万元）</v>
      </c>
      <c r="D112" s="2738">
        <f ca="1">IF(A112="——","——",D106-D108)</f>
        <v>558</v>
      </c>
      <c r="E112" s="1389"/>
      <c r="F112" s="3439" t="str">
        <f>IF(项目基本情况!F5="已注销及未注销","4.抵押担保权已注销时的房地产抵押价值",IF(项目基本情况!F5="已注销","3.抵押担保权已注销时的房地产抵押价值","——"))</f>
        <v>——</v>
      </c>
      <c r="G112" s="3440"/>
      <c r="H112" s="2725" t="str">
        <f>C114</f>
        <v>总价（万元）</v>
      </c>
      <c r="I112" s="2738" t="str">
        <f>IF(F112="——","——",I102-I107-I108)</f>
        <v>——</v>
      </c>
      <c r="J112" s="2780"/>
    </row>
    <row r="113" spans="1:16" ht="12.75">
      <c r="A113" s="3456"/>
      <c r="B113" s="3457"/>
      <c r="C113" s="2737" t="s">
        <v>2532</v>
      </c>
      <c r="D113" s="52">
        <f ca="1">ROUND(IF(D112=D106,D107,IF(H19="元",D112/项目基本情况!C12,D112*10000/项目基本情况!C12)),0)</f>
        <v>31652</v>
      </c>
      <c r="E113" s="1389"/>
      <c r="F113" s="3441"/>
      <c r="G113" s="3442"/>
      <c r="H113" s="2737" t="s">
        <v>2568</v>
      </c>
      <c r="I113" s="52" t="str">
        <f>D115</f>
        <v>——</v>
      </c>
      <c r="J113" s="2764"/>
    </row>
    <row r="114" spans="1:16" ht="12.75">
      <c r="A114" s="3456" t="str">
        <f>IF(项目基本情况!F5="已注销及未注销","4.抵押担保权已注销时的房地产抵押价值",IF(项目基本情况!F5="已注销","3.抵押担保权已注销时的房地产抵押价值","——"))</f>
        <v>——</v>
      </c>
      <c r="B114" s="3457"/>
      <c r="C114" s="2737" t="str">
        <f>B101</f>
        <v>总价（万元）</v>
      </c>
      <c r="D114" s="2738" t="str">
        <f>IF(A114="——","——",D106-D110-D111)</f>
        <v>——</v>
      </c>
      <c r="E114" s="1389"/>
      <c r="F114" s="3439" t="str">
        <f>IF(项目基本情况!G5="抵押净值",IF(OR(项目基本情况!F5="已注销",项目基本情况!F5="房地产抵押价值"),"4.抵押净值","5.抵押净值"),"——")</f>
        <v>——</v>
      </c>
      <c r="G114" s="3440"/>
      <c r="H114" s="2737" t="str">
        <f>C116</f>
        <v>总价（万元）</v>
      </c>
      <c r="I114" s="2738" t="str">
        <f>IF(F114="——","——",O59)</f>
        <v>——</v>
      </c>
      <c r="J114" s="2780"/>
    </row>
    <row r="115" spans="1:16" ht="13.5" thickBot="1">
      <c r="A115" s="3456"/>
      <c r="B115" s="3457"/>
      <c r="C115" s="2737" t="s">
        <v>2532</v>
      </c>
      <c r="D115" s="52" t="str">
        <f>IF(A114="——","——",ROUND(IF(D114=D106,D107,IF(H19="元",D114/项目基本情况!C12,D114*10000/项目基本情况!C12)),0))</f>
        <v>——</v>
      </c>
      <c r="E115" s="1389"/>
      <c r="F115" s="3519"/>
      <c r="G115" s="3520"/>
      <c r="H115" s="2742" t="s">
        <v>2532</v>
      </c>
      <c r="I115" s="2726" t="str">
        <f ca="1">D117</f>
        <v>——</v>
      </c>
      <c r="J115" s="2764"/>
    </row>
    <row r="116" spans="1:16" ht="15.75">
      <c r="A116" s="3456" t="str">
        <f>IF(项目基本情况!G5="抵押净值",IF(OR(项目基本情况!F5="已注销",项目基本情况!F5="房地产抵押价值"),"4.抵押净值","5.抵押净值"),"——")</f>
        <v>——</v>
      </c>
      <c r="B116" s="3457"/>
      <c r="C116" s="2737" t="str">
        <f>B101</f>
        <v>总价（万元）</v>
      </c>
      <c r="D116" s="2738" t="str">
        <f>IF(A116="——","——",O59)</f>
        <v>——</v>
      </c>
      <c r="E116" s="1389"/>
      <c r="F116" s="3434"/>
      <c r="G116" s="3434"/>
      <c r="H116" s="3475"/>
      <c r="I116" s="3475"/>
      <c r="J116" s="2784"/>
      <c r="O116" s="32"/>
      <c r="P116" s="32"/>
    </row>
    <row r="117" spans="1:16" ht="13.5" thickBot="1">
      <c r="A117" s="3525"/>
      <c r="B117" s="3526"/>
      <c r="C117" s="2742" t="s">
        <v>2532</v>
      </c>
      <c r="D117" s="2726" t="str">
        <f ca="1">IF(D116=D112,D113,IF(A116="——","——",O61))</f>
        <v>——</v>
      </c>
      <c r="E117" s="1389"/>
      <c r="F117" s="3518" t="str">
        <f>IF(B32="总价","（以上估价结果中单价为总价除以建筑面积得出）","（以上估价结果中总价为楼面单价乘以建筑面积得出）")</f>
        <v>（以上估价结果中单价为总价除以建筑面积得出）</v>
      </c>
      <c r="G117" s="3518"/>
      <c r="H117" s="3518"/>
      <c r="I117" s="3518"/>
      <c r="J117" s="2785"/>
      <c r="O117" s="32"/>
      <c r="P117" s="32"/>
    </row>
    <row r="118" spans="1:16" ht="15">
      <c r="A118" s="3476" t="s">
        <v>1634</v>
      </c>
      <c r="B118" s="3477"/>
      <c r="C118" s="3477"/>
      <c r="D118" s="3477"/>
      <c r="E118" s="3477"/>
      <c r="F118" s="3477"/>
      <c r="G118" s="3477"/>
      <c r="H118" s="3477"/>
      <c r="I118" s="3477"/>
      <c r="J118" s="2786"/>
    </row>
    <row r="119" spans="1:16" ht="12.75">
      <c r="A119" s="3449" t="s">
        <v>2550</v>
      </c>
      <c r="B119" s="3447" t="s">
        <v>2560</v>
      </c>
      <c r="C119" s="3447" t="s">
        <v>2561</v>
      </c>
      <c r="D119" s="3454" t="s">
        <v>2552</v>
      </c>
      <c r="E119" s="3455"/>
      <c r="F119" s="3445" t="s">
        <v>2562</v>
      </c>
      <c r="G119" s="3445"/>
      <c r="H119" s="3445" t="s">
        <v>2553</v>
      </c>
      <c r="I119" s="3446"/>
      <c r="J119" s="2764"/>
    </row>
    <row r="120" spans="1:16" ht="12.75">
      <c r="A120" s="3449"/>
      <c r="B120" s="3448"/>
      <c r="C120" s="3448"/>
      <c r="D120" s="2020" t="s">
        <v>2554</v>
      </c>
      <c r="E120" s="2020" t="s">
        <v>2559</v>
      </c>
      <c r="F120" s="2020" t="s">
        <v>2554</v>
      </c>
      <c r="G120" s="2020" t="s">
        <v>2555</v>
      </c>
      <c r="H120" s="2020" t="s">
        <v>2554</v>
      </c>
      <c r="I120" s="52" t="s">
        <v>2555</v>
      </c>
      <c r="J120" s="2764"/>
    </row>
    <row r="121" spans="1:16" ht="12.75">
      <c r="A121" s="2010" t="str">
        <f>项目基本情况!I1</f>
        <v>北京市房地产</v>
      </c>
      <c r="B121" s="2020">
        <f>项目基本情况!C12</f>
        <v>176.29</v>
      </c>
      <c r="C121" s="2020">
        <f>项目基本情况!C13</f>
        <v>43.2</v>
      </c>
      <c r="D121" s="2020">
        <f ca="1">ROUND(IF(B32="总价",C34,IF('数据-取费表'!B3="万元",E121*B121/10000,E121*B121)),0)</f>
        <v>483</v>
      </c>
      <c r="E121" s="2020">
        <f ca="1">ROUND(IF(B32="楼面单价",C34,IF(H19="元",D121/B121,D121*10000/B121)),0)</f>
        <v>27398</v>
      </c>
      <c r="F121" s="2020">
        <f ca="1">ROUND(IF(B32="总价",C35,IF('数据-取费表'!B3="万元",G121*B121/10000,G121*B121)),0)</f>
        <v>75</v>
      </c>
      <c r="G121" s="2020">
        <f ca="1">ROUND(IF(B32="楼面单价",C35,IF(H19="元",F121/B121,F121*10000/B121)),0)</f>
        <v>4254</v>
      </c>
      <c r="H121" s="2020">
        <f ca="1">ROUND(IF(B32="总价",C32,IF('数据-取费表'!B3="万元",I121*B121/10000,I121*B121)),0)</f>
        <v>558</v>
      </c>
      <c r="I121" s="52">
        <f ca="1">ROUND(IF(B32="楼面单价",C32,IF(H19="元",H121/B121,H121*10000/B121)),0)</f>
        <v>31652</v>
      </c>
      <c r="J121" s="2764"/>
    </row>
    <row r="122" spans="1:16" ht="12.75">
      <c r="A122" s="3449" t="s">
        <v>2556</v>
      </c>
      <c r="B122" s="3445"/>
      <c r="C122" s="3445"/>
      <c r="D122" s="3480" t="str">
        <f ca="1">IF(H19="元",NUMBERSTRING(INT(D121),2)&amp;"元整",NUMBERSTRING(INT(D121*10000),2)&amp;"元整")</f>
        <v>肆佰捌拾叁万元整</v>
      </c>
      <c r="E122" s="3481"/>
      <c r="F122" s="3480" t="str">
        <f ca="1">IF(H19="元",NUMBERSTRING(INT(F121),2)&amp;"元整",NUMBERSTRING(INT(F121*10000),2)&amp;"元整")</f>
        <v>柒拾伍万元整</v>
      </c>
      <c r="G122" s="3481"/>
      <c r="H122" s="3480" t="str">
        <f ca="1">IF(H19="元",NUMBERSTRING(INT(H121),2)&amp;"元整",NUMBERSTRING(INT(H121*10000),2)&amp;"元整")</f>
        <v>伍佰伍拾捌万元整</v>
      </c>
      <c r="I122" s="3529"/>
      <c r="J122" s="2787"/>
    </row>
    <row r="123" spans="1:16" ht="12.75">
      <c r="A123" s="3469" t="str">
        <f>IF(项目基本情况!D5="房地产市场价值","——",MID(A108,3,LEN(A108)-2))</f>
        <v>估价师所知悉的法定优先受偿款</v>
      </c>
      <c r="B123" s="3482"/>
      <c r="C123" s="3471"/>
      <c r="D123" s="3473">
        <f>I105</f>
        <v>0</v>
      </c>
      <c r="E123" s="3482"/>
      <c r="F123" s="3482"/>
      <c r="G123" s="3482"/>
      <c r="H123" s="3482"/>
      <c r="I123" s="3470"/>
      <c r="J123" s="2780"/>
    </row>
    <row r="124" spans="1:16" ht="12.75">
      <c r="A124" s="3483" t="s">
        <v>2556</v>
      </c>
      <c r="B124" s="3484"/>
      <c r="C124" s="3485"/>
      <c r="D124" s="3521">
        <f>H109</f>
        <v>0</v>
      </c>
      <c r="E124" s="3522"/>
      <c r="F124" s="3522"/>
      <c r="G124" s="3522"/>
      <c r="H124" s="3522"/>
      <c r="I124" s="3523"/>
      <c r="J124" s="2788"/>
    </row>
    <row r="125" spans="1:16" ht="12.75">
      <c r="A125" s="3456" t="str">
        <f>IF(项目基本情况!D5="房地产市场价值","——",MID(A112,3,LEN(A112)-2))</f>
        <v>房地产抵押价值</v>
      </c>
      <c r="B125" s="3457"/>
      <c r="C125" s="3457"/>
      <c r="D125" s="3473">
        <f ca="1">I110</f>
        <v>558</v>
      </c>
      <c r="E125" s="3482"/>
      <c r="F125" s="3482"/>
      <c r="G125" s="3482"/>
      <c r="H125" s="3482"/>
      <c r="I125" s="3470"/>
      <c r="J125" s="2780"/>
    </row>
    <row r="126" spans="1:16" ht="12.75">
      <c r="A126" s="3449" t="s">
        <v>2556</v>
      </c>
      <c r="B126" s="3445"/>
      <c r="C126" s="3445"/>
      <c r="D126" s="3521">
        <f ca="1">I111</f>
        <v>31652</v>
      </c>
      <c r="E126" s="3522"/>
      <c r="F126" s="3522"/>
      <c r="G126" s="3522"/>
      <c r="H126" s="3522"/>
      <c r="I126" s="3523"/>
      <c r="J126" s="2788"/>
    </row>
    <row r="127" spans="1:16" ht="13.5" thickBot="1">
      <c r="A127" s="3456" t="str">
        <f>IF(项目基本情况!D5="房地产市场价值","——",MID(A114,3,LEN(A114)-2))</f>
        <v/>
      </c>
      <c r="B127" s="3457"/>
      <c r="C127" s="3457"/>
      <c r="D127" s="3429" t="str">
        <f>I112</f>
        <v>——</v>
      </c>
      <c r="E127" s="3430"/>
      <c r="F127" s="3430"/>
      <c r="G127" s="3430"/>
      <c r="H127" s="3430"/>
      <c r="I127" s="3431"/>
      <c r="J127" s="2780"/>
    </row>
    <row r="128" spans="1:16" ht="14.25" thickTop="1" thickBot="1">
      <c r="A128" s="3449" t="s">
        <v>2556</v>
      </c>
      <c r="B128" s="3445"/>
      <c r="C128" s="3496"/>
      <c r="D128" s="3474" t="str">
        <f>I113</f>
        <v>——</v>
      </c>
      <c r="E128" s="3474"/>
      <c r="F128" s="3474"/>
      <c r="G128" s="3474"/>
      <c r="H128" s="3474"/>
      <c r="I128" s="3474"/>
      <c r="J128" s="2788"/>
    </row>
    <row r="129" spans="1:10" ht="14.25" thickTop="1" thickBot="1">
      <c r="A129" s="3456" t="str">
        <f>IF(项目基本情况!D5="房地产市场价值","——",MID(F114,3,LEN(F114)-2))</f>
        <v/>
      </c>
      <c r="B129" s="3457"/>
      <c r="C129" s="3473"/>
      <c r="D129" s="3524" t="str">
        <f>I114</f>
        <v>——</v>
      </c>
      <c r="E129" s="3524"/>
      <c r="F129" s="3524"/>
      <c r="G129" s="3524"/>
      <c r="H129" s="3524"/>
      <c r="I129" s="3524"/>
      <c r="J129" s="2780"/>
    </row>
    <row r="130" spans="1:10" ht="14.25" thickTop="1" thickBot="1">
      <c r="A130" s="3512" t="s">
        <v>2556</v>
      </c>
      <c r="B130" s="3513"/>
      <c r="C130" s="3513"/>
      <c r="D130" s="3530">
        <f>H116</f>
        <v>0</v>
      </c>
      <c r="E130" s="3531"/>
      <c r="F130" s="3531"/>
      <c r="G130" s="3531"/>
      <c r="H130" s="3531"/>
      <c r="I130" s="3532"/>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17" t="str">
        <f>IF(B32="总价","（以上估价结果中楼面单价为总价除以建筑面积得出）","（以上估价结果中总价为楼面单价乘以建筑面积得出）")</f>
        <v>（以上估价结果中楼面单价为总价除以建筑面积得出）</v>
      </c>
      <c r="B132" s="3517"/>
      <c r="C132" s="3517"/>
      <c r="D132" s="3517"/>
      <c r="E132" s="3517"/>
      <c r="F132" s="3517"/>
      <c r="G132" s="3517"/>
      <c r="H132" s="3517"/>
      <c r="I132" s="3517"/>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O24" sqref="O24"/>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9" t="s">
        <v>1643</v>
      </c>
      <c r="B2" s="3539"/>
      <c r="C2" s="3539"/>
      <c r="D2" s="3539"/>
      <c r="E2" s="3539"/>
      <c r="F2" s="3539"/>
      <c r="G2" s="3539"/>
      <c r="H2" s="3539"/>
      <c r="I2" s="3539"/>
      <c r="J2" s="2793"/>
    </row>
    <row r="3" spans="1:15" ht="12.75">
      <c r="A3" s="3499" t="s">
        <v>1471</v>
      </c>
      <c r="B3" s="3500"/>
      <c r="C3" s="3500"/>
      <c r="D3" s="3500"/>
      <c r="E3" s="3500"/>
      <c r="F3" s="3500"/>
      <c r="G3" s="3500"/>
      <c r="H3" s="3500"/>
      <c r="I3" s="3500"/>
      <c r="J3" s="2763"/>
    </row>
    <row r="4" spans="1:15" ht="14.25">
      <c r="A4" s="2631" t="s">
        <v>1472</v>
      </c>
      <c r="B4" s="2631" t="s">
        <v>1473</v>
      </c>
      <c r="C4" s="2632" t="s">
        <v>3058</v>
      </c>
      <c r="D4" s="2632" t="s">
        <v>3059</v>
      </c>
      <c r="E4" s="3496" t="s">
        <v>1644</v>
      </c>
      <c r="F4" s="3484"/>
      <c r="G4" s="3484"/>
      <c r="H4" s="3484"/>
      <c r="I4" s="3485"/>
      <c r="J4" s="2764"/>
      <c r="L4" s="1389" t="str">
        <f>IF(ISNUMBER(FIND("比较法",'结果表 (1修多)'!C4)),"比较法",IF(ISNUMBER(FIND("成本法",'结果表 (1修多)'!C4)),"成本法",IF(ISNUMBER(FIND("假设开发法",'结果表 (1修多)'!C4)),"假设开发法",IF(ISNUMBER(FIND("收益法",'结果表 (1修多)'!C4)),"收益法","基准地价系数修正法"))))</f>
        <v>比较法</v>
      </c>
      <c r="M4" s="1389" t="str">
        <f>IF(ISNUMBER(FIND("比较法",'结果表 (1修多)'!D4)),"比较法",IF(ISNUMBER(FIND("成本法",'结果表 (1修多)'!D4)),"成本法",IF(ISNUMBER(FIND("假设开发法",'结果表 (1修多)'!D4)),"假设开发法",IF(ISNUMBER(FIND("收益法",'结果表 (1修多)'!D4)),"收益法","基准地价系数修正法"))))</f>
        <v>收益法</v>
      </c>
      <c r="N4" s="1389"/>
      <c r="O4" s="1389"/>
    </row>
    <row r="5" spans="1:15" ht="12.75">
      <c r="A5" s="3495" t="s">
        <v>1475</v>
      </c>
      <c r="B5" s="3495">
        <v>25</v>
      </c>
      <c r="C5" s="3501"/>
      <c r="D5" s="3498"/>
      <c r="E5" s="12" t="s">
        <v>1476</v>
      </c>
      <c r="F5" s="2017"/>
      <c r="G5" s="2017"/>
      <c r="H5" s="2017"/>
      <c r="I5" s="2012"/>
      <c r="J5" s="2764"/>
    </row>
    <row r="6" spans="1:15" ht="12.75">
      <c r="A6" s="3495"/>
      <c r="B6" s="3495"/>
      <c r="C6" s="3502"/>
      <c r="D6" s="3498"/>
      <c r="E6" s="12" t="s">
        <v>1477</v>
      </c>
      <c r="F6" s="2017"/>
      <c r="G6" s="2017"/>
      <c r="H6" s="2017"/>
      <c r="I6" s="2012"/>
      <c r="J6" s="2764"/>
    </row>
    <row r="7" spans="1:15" ht="12.75">
      <c r="A7" s="3495"/>
      <c r="B7" s="3495"/>
      <c r="C7" s="3503"/>
      <c r="D7" s="3498"/>
      <c r="E7" s="12" t="s">
        <v>1478</v>
      </c>
      <c r="F7" s="2017"/>
      <c r="G7" s="2017"/>
      <c r="H7" s="2017"/>
      <c r="I7" s="2012"/>
      <c r="J7" s="2764"/>
    </row>
    <row r="8" spans="1:15" ht="12.75">
      <c r="A8" s="3495" t="s">
        <v>1479</v>
      </c>
      <c r="B8" s="3495">
        <v>15</v>
      </c>
      <c r="C8" s="3501"/>
      <c r="D8" s="3498"/>
      <c r="E8" s="12" t="s">
        <v>1480</v>
      </c>
      <c r="F8" s="2017"/>
      <c r="G8" s="2017"/>
      <c r="H8" s="2017"/>
      <c r="I8" s="2012"/>
      <c r="J8" s="2764"/>
    </row>
    <row r="9" spans="1:15" ht="12.75">
      <c r="A9" s="3495"/>
      <c r="B9" s="3495"/>
      <c r="C9" s="3503"/>
      <c r="D9" s="3498"/>
      <c r="E9" s="12" t="s">
        <v>1481</v>
      </c>
      <c r="F9" s="2017"/>
      <c r="G9" s="2017"/>
      <c r="H9" s="2017"/>
      <c r="I9" s="2012"/>
      <c r="J9" s="2764"/>
    </row>
    <row r="10" spans="1:15" ht="12.75">
      <c r="A10" s="3495" t="s">
        <v>1482</v>
      </c>
      <c r="B10" s="3495">
        <v>15</v>
      </c>
      <c r="C10" s="3501"/>
      <c r="D10" s="3498"/>
      <c r="E10" s="12" t="s">
        <v>1483</v>
      </c>
      <c r="F10" s="2017"/>
      <c r="G10" s="2017"/>
      <c r="H10" s="2017"/>
      <c r="I10" s="2012"/>
      <c r="J10" s="2764"/>
    </row>
    <row r="11" spans="1:15" ht="12.75">
      <c r="A11" s="3495"/>
      <c r="B11" s="3495"/>
      <c r="C11" s="3503"/>
      <c r="D11" s="3498"/>
      <c r="E11" s="12" t="s">
        <v>1484</v>
      </c>
      <c r="F11" s="2017"/>
      <c r="G11" s="2017"/>
      <c r="H11" s="2017"/>
      <c r="I11" s="2012"/>
      <c r="J11" s="2764"/>
    </row>
    <row r="12" spans="1:15" ht="12.75">
      <c r="A12" s="3495" t="s">
        <v>1485</v>
      </c>
      <c r="B12" s="3495">
        <v>15</v>
      </c>
      <c r="C12" s="3501"/>
      <c r="D12" s="3498"/>
      <c r="E12" s="12" t="s">
        <v>1486</v>
      </c>
      <c r="F12" s="2017"/>
      <c r="G12" s="2017"/>
      <c r="H12" s="2017"/>
      <c r="I12" s="2012"/>
      <c r="J12" s="2764"/>
    </row>
    <row r="13" spans="1:15" ht="12.75">
      <c r="A13" s="3495"/>
      <c r="B13" s="3495"/>
      <c r="C13" s="3503"/>
      <c r="D13" s="3498"/>
      <c r="E13" s="12" t="s">
        <v>1487</v>
      </c>
      <c r="F13" s="2017"/>
      <c r="G13" s="2017"/>
      <c r="H13" s="2017"/>
      <c r="I13" s="2012"/>
      <c r="J13" s="2764"/>
    </row>
    <row r="14" spans="1:15" ht="12.75">
      <c r="A14" s="3495" t="s">
        <v>1488</v>
      </c>
      <c r="B14" s="3495">
        <v>30</v>
      </c>
      <c r="C14" s="3501">
        <v>5</v>
      </c>
      <c r="D14" s="3498">
        <v>5</v>
      </c>
      <c r="E14" s="12" t="s">
        <v>1489</v>
      </c>
      <c r="F14" s="2017"/>
      <c r="G14" s="2017"/>
      <c r="H14" s="2017"/>
      <c r="I14" s="2012"/>
      <c r="J14" s="2764"/>
    </row>
    <row r="15" spans="1:15" ht="12.75">
      <c r="A15" s="3495"/>
      <c r="B15" s="3495"/>
      <c r="C15" s="3502"/>
      <c r="D15" s="3498"/>
      <c r="E15" s="12" t="s">
        <v>1490</v>
      </c>
      <c r="F15" s="2017"/>
      <c r="G15" s="2017"/>
      <c r="H15" s="2017"/>
      <c r="I15" s="2012"/>
      <c r="J15" s="2764"/>
    </row>
    <row r="16" spans="1:15" ht="12.75">
      <c r="A16" s="3495"/>
      <c r="B16" s="3495"/>
      <c r="C16" s="3503"/>
      <c r="D16" s="3498"/>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2.450000000000003" customHeight="1" thickBot="1">
      <c r="A18" s="2635" t="s">
        <v>1493</v>
      </c>
      <c r="B18" s="2636"/>
      <c r="C18" s="2637">
        <f>ROUND(C17/SUM(C17:D17),2)</f>
        <v>0.5</v>
      </c>
      <c r="D18" s="2637">
        <f>1-C18</f>
        <v>0.5</v>
      </c>
      <c r="E18" s="3515" t="s">
        <v>2575</v>
      </c>
      <c r="F18" s="3516"/>
      <c r="G18" s="3516"/>
      <c r="H18" s="3516"/>
      <c r="I18" s="3516"/>
      <c r="J18" s="2765"/>
    </row>
    <row r="19" spans="1:36" ht="15">
      <c r="A19" s="2638" t="s">
        <v>1494</v>
      </c>
      <c r="B19" s="2639" t="s">
        <v>1495</v>
      </c>
      <c r="C19" s="2640">
        <f ca="1">SUMIF(INDIRECT("'"&amp;C4&amp;"'"&amp;"!A:A"),'结果表 (1修多)'!B19,INDIRECT("'"&amp;C4&amp;"'"&amp;"!B:B"))</f>
        <v>558</v>
      </c>
      <c r="D19" s="2641">
        <f ca="1">SUMIF(INDIRECT("'"&amp;D4&amp;"'"&amp;"!A:A"),'结果表 (1修多)'!B19,INDIRECT("'"&amp;D4&amp;"'"&amp;"!B:B"))</f>
        <v>557</v>
      </c>
      <c r="E19" s="2638" t="s">
        <v>1496</v>
      </c>
      <c r="F19" s="2639" t="s">
        <v>1495</v>
      </c>
      <c r="G19" s="2642">
        <f ca="1">ROUND(C19*$C$18+D19*$D$18,0)</f>
        <v>558</v>
      </c>
      <c r="H19" s="2643" t="str">
        <f>'数据-取费表'!B3</f>
        <v>万元</v>
      </c>
      <c r="I19" s="2481"/>
      <c r="J19" s="2765"/>
    </row>
    <row r="20" spans="1:36" ht="15">
      <c r="A20" s="2644"/>
      <c r="B20" s="1622" t="s">
        <v>1497</v>
      </c>
      <c r="C20" s="1847">
        <f ca="1">SUMIF(INDIRECT("'"&amp;C4&amp;"'"&amp;"!A:A"),'结果表 (1修多)'!B20,INDIRECT("'"&amp;C4&amp;"'"&amp;"!B:B"))</f>
        <v>31646</v>
      </c>
      <c r="D20" s="1850">
        <f ca="1">SUMIF(INDIRECT("'"&amp;D4&amp;"'"&amp;"!A:A"),'结果表 (1修多)'!B20,INDIRECT("'"&amp;D4&amp;"'"&amp;"!B:B"))</f>
        <v>31618</v>
      </c>
      <c r="E20" s="2644"/>
      <c r="F20" s="1622" t="s">
        <v>1497</v>
      </c>
      <c r="G20" s="2021">
        <f ca="1">ROUND(C20*$C$18+D20*$D$18,0)</f>
        <v>31632</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1.7953321364452268E-3</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4" t="s">
        <v>1500</v>
      </c>
      <c r="B24" s="2639" t="s">
        <v>1495</v>
      </c>
      <c r="C24" s="2642">
        <f>D30</f>
        <v>0</v>
      </c>
      <c r="D24" s="2594"/>
      <c r="E24" s="905"/>
      <c r="F24" s="905"/>
      <c r="G24" s="905"/>
      <c r="H24" s="905"/>
      <c r="I24" s="905"/>
      <c r="J24" s="2765"/>
    </row>
    <row r="25" spans="1:36" ht="21.75" customHeight="1">
      <c r="A25" s="3505"/>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2579</v>
      </c>
      <c r="F30" s="2481"/>
      <c r="G30" s="2481"/>
      <c r="H30" s="2481"/>
      <c r="I30" s="2481"/>
      <c r="J30" s="2765"/>
    </row>
    <row r="31" spans="1:36" s="2758" customFormat="1" ht="27.6"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61" t="s">
        <v>1647</v>
      </c>
      <c r="B32" s="3561"/>
      <c r="C32" s="3561"/>
      <c r="D32" s="3561"/>
      <c r="E32" s="3561"/>
      <c r="F32" s="3561"/>
      <c r="G32" s="3561"/>
      <c r="H32" s="3561"/>
      <c r="I32" s="3561"/>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 ca="1">典型户型修正!R27</f>
        <v>31632</v>
      </c>
      <c r="D33" s="2481" t="s">
        <v>1649</v>
      </c>
      <c r="E33" s="905"/>
      <c r="F33" s="905"/>
      <c r="G33" s="905"/>
      <c r="H33" s="905"/>
      <c r="I33" s="905"/>
      <c r="J33" s="2765"/>
    </row>
    <row r="34" spans="1:16" ht="15">
      <c r="A34" s="1440" t="s">
        <v>1650</v>
      </c>
      <c r="B34" s="2696" t="s">
        <v>1651</v>
      </c>
      <c r="C34" s="2697">
        <f ca="1">典型户型修正!B2</f>
        <v>279</v>
      </c>
      <c r="D34" s="2698" t="str">
        <f>IF('数据-取费表'!B3="万元","万元","元")</f>
        <v>万元</v>
      </c>
      <c r="E34" s="905"/>
      <c r="F34" s="905"/>
      <c r="G34" s="905"/>
      <c r="H34" s="905"/>
      <c r="I34" s="905"/>
      <c r="J34" s="2765"/>
    </row>
    <row r="35" spans="1:16" ht="15.75" thickBot="1">
      <c r="A35" s="1441"/>
      <c r="B35" s="2699" t="s">
        <v>1652</v>
      </c>
      <c r="C35" s="2648">
        <f ca="1">典型户型修正!B3</f>
        <v>31651</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504" t="s">
        <v>1656</v>
      </c>
      <c r="B38" s="1396" t="s">
        <v>1657</v>
      </c>
      <c r="C38" s="2675"/>
      <c r="D38" s="2676"/>
      <c r="E38" s="1608"/>
      <c r="F38" s="1608"/>
      <c r="G38" s="905"/>
      <c r="H38" s="905"/>
      <c r="I38" s="905"/>
      <c r="J38" s="2765"/>
    </row>
    <row r="39" spans="1:16" ht="15.75" thickBot="1">
      <c r="A39" s="3509"/>
      <c r="B39" s="2022" t="s">
        <v>1658</v>
      </c>
      <c r="C39" s="2677"/>
      <c r="D39" s="1239"/>
      <c r="E39" s="1239"/>
      <c r="F39" s="1608"/>
      <c r="G39" s="1239"/>
      <c r="H39" s="1239"/>
      <c r="I39" s="1239"/>
      <c r="J39" s="2769"/>
    </row>
    <row r="40" spans="1:16" ht="15.75" thickBot="1">
      <c r="A40" s="3510"/>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29" t="s">
        <v>1669</v>
      </c>
      <c r="B47" s="3430"/>
      <c r="C47" s="3440"/>
      <c r="D47" s="246">
        <f ca="1">ROUND(I104*F47,0)</f>
        <v>279</v>
      </c>
      <c r="E47" s="1470" t="s">
        <v>1670</v>
      </c>
      <c r="F47" s="2479">
        <v>1</v>
      </c>
      <c r="G47" s="2480" t="s">
        <v>1671</v>
      </c>
      <c r="H47" s="905"/>
      <c r="I47" s="905"/>
      <c r="J47" s="2765"/>
      <c r="K47" s="3534" t="s">
        <v>1527</v>
      </c>
      <c r="L47" s="3534"/>
      <c r="M47" s="3534"/>
      <c r="N47" s="3534"/>
      <c r="O47" s="3534"/>
      <c r="P47" s="3534"/>
    </row>
    <row r="48" spans="1:16" ht="14.25" customHeight="1">
      <c r="A48" s="3506" t="s">
        <v>1528</v>
      </c>
      <c r="B48" s="3507"/>
      <c r="C48" s="3507"/>
      <c r="D48" s="3507"/>
      <c r="E48" s="3507"/>
      <c r="F48" s="3507"/>
      <c r="G48" s="3508"/>
      <c r="H48" s="2897"/>
      <c r="I48" s="905"/>
      <c r="J48" s="2765"/>
      <c r="K48" s="2431">
        <v>1</v>
      </c>
      <c r="L48" s="3535" t="s">
        <v>1529</v>
      </c>
      <c r="M48" s="3535"/>
      <c r="N48" s="3536"/>
      <c r="O48" s="3536"/>
      <c r="P48" s="3536"/>
    </row>
    <row r="49" spans="1:17" ht="12" customHeight="1">
      <c r="A49" s="38" t="s">
        <v>1530</v>
      </c>
      <c r="B49" s="39"/>
      <c r="C49" s="40"/>
      <c r="D49" s="1028" t="s">
        <v>1531</v>
      </c>
      <c r="E49" s="235" t="s">
        <v>1532</v>
      </c>
      <c r="F49" s="41" t="s">
        <v>1533</v>
      </c>
      <c r="G49" s="2482" t="s">
        <v>1534</v>
      </c>
      <c r="H49" s="2897"/>
      <c r="I49" s="905"/>
      <c r="J49" s="2765"/>
      <c r="K49" s="2431">
        <v>2</v>
      </c>
      <c r="L49" s="3535" t="s">
        <v>1535</v>
      </c>
      <c r="M49" s="3535"/>
      <c r="N49" s="3538">
        <f>'数据-取费表'!B2</f>
        <v>44676</v>
      </c>
      <c r="O49" s="3538"/>
      <c r="P49" s="3538"/>
    </row>
    <row r="50" spans="1:17" ht="25.5">
      <c r="A50" s="3511" t="s">
        <v>1536</v>
      </c>
      <c r="B50" s="3445"/>
      <c r="C50" s="3445"/>
      <c r="D50" s="12">
        <f ca="1">IF(H50="情况1",0,IF(H50="情况2",D54,IF(H50="情况3",D55,IF(H50="情况4",D56))))</f>
        <v>15</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35" t="s">
        <v>1539</v>
      </c>
      <c r="M50" s="3535"/>
      <c r="N50" s="3540">
        <f ca="1">I104</f>
        <v>279</v>
      </c>
      <c r="O50" s="3540"/>
      <c r="P50" s="3540"/>
    </row>
    <row r="51" spans="1:17" ht="25.5" customHeight="1">
      <c r="A51" s="2019" t="s">
        <v>1540</v>
      </c>
      <c r="B51" s="3484" t="s">
        <v>1541</v>
      </c>
      <c r="C51" s="3484"/>
      <c r="D51" s="2486">
        <v>0</v>
      </c>
      <c r="E51" s="261" t="s">
        <v>1542</v>
      </c>
      <c r="F51" s="2487" t="s">
        <v>48</v>
      </c>
      <c r="G51" s="3426"/>
      <c r="H51" s="2488" t="s">
        <v>2499</v>
      </c>
      <c r="I51" s="2489"/>
      <c r="J51" s="2773"/>
      <c r="K51" s="2431">
        <v>4</v>
      </c>
      <c r="L51" s="3535" t="str">
        <f>IF(项目基本情况!F5="房地产抵押价值","房地产抵押价值","抵押担保权已注销时的房地产抵押价值")</f>
        <v>房地产抵押价值</v>
      </c>
      <c r="M51" s="3535"/>
      <c r="N51" s="3540">
        <f ca="1">IF(项目基本情况!F5="房地产抵押价值",I112,I114)</f>
        <v>279</v>
      </c>
      <c r="O51" s="3540"/>
      <c r="P51" s="3540"/>
    </row>
    <row r="52" spans="1:17" ht="25.5" customHeight="1">
      <c r="A52" s="2009"/>
      <c r="B52" s="3484" t="s">
        <v>1543</v>
      </c>
      <c r="C52" s="3484"/>
      <c r="D52" s="2490"/>
      <c r="E52" s="269"/>
      <c r="F52" s="2487"/>
      <c r="G52" s="3427"/>
      <c r="H52" s="2491" t="s">
        <v>2500</v>
      </c>
      <c r="I52" s="2489"/>
      <c r="J52" s="2773"/>
      <c r="K52" s="3535" t="s">
        <v>1544</v>
      </c>
      <c r="L52" s="3535"/>
      <c r="M52" s="3535"/>
      <c r="N52" s="3535"/>
      <c r="O52" s="3535"/>
      <c r="P52" s="3535"/>
    </row>
    <row r="53" spans="1:17" ht="20.45" customHeight="1">
      <c r="A53" s="2492"/>
      <c r="B53" s="3484" t="s">
        <v>1545</v>
      </c>
      <c r="C53" s="3484"/>
      <c r="D53" s="1028"/>
      <c r="E53" s="264"/>
      <c r="F53" s="2487"/>
      <c r="G53" s="3428"/>
      <c r="H53" s="2491" t="s">
        <v>2501</v>
      </c>
      <c r="I53" s="2489"/>
      <c r="J53" s="2773"/>
      <c r="K53" s="2432" t="s">
        <v>1546</v>
      </c>
      <c r="L53" s="3535" t="s">
        <v>1547</v>
      </c>
      <c r="M53" s="3535"/>
      <c r="N53" s="2432" t="s">
        <v>1548</v>
      </c>
      <c r="O53" s="2432" t="s">
        <v>1549</v>
      </c>
      <c r="P53" s="2432" t="s">
        <v>1550</v>
      </c>
    </row>
    <row r="54" spans="1:17" ht="24" customHeight="1">
      <c r="A54" s="2010" t="s">
        <v>1551</v>
      </c>
      <c r="B54" s="3484" t="s">
        <v>1552</v>
      </c>
      <c r="C54" s="3484"/>
      <c r="D54" s="1028">
        <f ca="1">ROUND(D47*'数据-取费表'!E29/(1+'数据-取费表'!F30),0)</f>
        <v>15</v>
      </c>
      <c r="E54" s="2020" t="s">
        <v>1553</v>
      </c>
      <c r="F54" s="2493">
        <f>'数据-取费表'!E29</f>
        <v>5.6000000000000001E-2</v>
      </c>
      <c r="G54" s="2494"/>
      <c r="H54" s="905"/>
      <c r="I54" s="2898"/>
      <c r="J54" s="2773"/>
      <c r="K54" s="2431">
        <v>1</v>
      </c>
      <c r="L54" s="3537" t="s">
        <v>1554</v>
      </c>
      <c r="M54" s="3537"/>
      <c r="N54" s="2433">
        <f ca="1">D50</f>
        <v>15</v>
      </c>
      <c r="O54" s="2431" t="str">
        <f>E50</f>
        <v>销售额×税（费）率</v>
      </c>
      <c r="P54" s="2434">
        <f>F50</f>
        <v>5.6000000000000001E-2</v>
      </c>
    </row>
    <row r="55" spans="1:17" ht="12" customHeight="1">
      <c r="A55" s="2010" t="s">
        <v>1555</v>
      </c>
      <c r="B55" s="3496" t="s">
        <v>2592</v>
      </c>
      <c r="C55" s="3485"/>
      <c r="D55" s="1028">
        <f ca="1">ROUND(D47*'数据-取费表'!E29/(1+'数据-取费表'!F30),0)</f>
        <v>15</v>
      </c>
      <c r="E55" s="2020" t="s">
        <v>1553</v>
      </c>
      <c r="F55" s="2493">
        <f>'数据-取费表'!E29</f>
        <v>5.6000000000000001E-2</v>
      </c>
      <c r="G55" s="2494"/>
      <c r="H55" s="905"/>
      <c r="I55" s="2898"/>
      <c r="J55" s="2773"/>
      <c r="K55" s="2431">
        <v>2</v>
      </c>
      <c r="L55" s="3537" t="s">
        <v>1556</v>
      </c>
      <c r="M55" s="3537"/>
      <c r="N55" s="2433">
        <f t="shared" ref="N55:P56" ca="1" si="1">D57</f>
        <v>0</v>
      </c>
      <c r="O55" s="2431" t="str">
        <f t="shared" si="1"/>
        <v>销售额×税（费）率</v>
      </c>
      <c r="P55" s="2434">
        <f t="shared" si="1"/>
        <v>5.0000000000000001E-4</v>
      </c>
    </row>
    <row r="56" spans="1:17" ht="12" customHeight="1">
      <c r="A56" s="2010" t="s">
        <v>1557</v>
      </c>
      <c r="B56" s="3496" t="s">
        <v>2593</v>
      </c>
      <c r="C56" s="3485"/>
      <c r="D56" s="1028">
        <f ca="1">C70</f>
        <v>15</v>
      </c>
      <c r="E56" s="264" t="s">
        <v>1558</v>
      </c>
      <c r="F56" s="2493">
        <f>'数据-取费表'!E29</f>
        <v>5.6000000000000001E-2</v>
      </c>
      <c r="G56" s="2494"/>
      <c r="H56" s="2899"/>
      <c r="I56" s="2898"/>
      <c r="J56" s="2773"/>
      <c r="K56" s="2431">
        <v>3</v>
      </c>
      <c r="L56" s="3537" t="s">
        <v>1559</v>
      </c>
      <c r="M56" s="3537"/>
      <c r="N56" s="2433">
        <f t="shared" ca="1" si="1"/>
        <v>158</v>
      </c>
      <c r="O56" s="2431" t="str">
        <f t="shared" si="1"/>
        <v>增值额×税（费）率</v>
      </c>
      <c r="P56" s="2435" t="str">
        <f t="shared" si="1"/>
        <v>——</v>
      </c>
    </row>
    <row r="57" spans="1:17" ht="24" customHeight="1">
      <c r="A57" s="3449" t="s">
        <v>1560</v>
      </c>
      <c r="B57" s="3445"/>
      <c r="C57" s="3445"/>
      <c r="D57" s="12">
        <f ca="1">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37" t="str">
        <f>IF(H61="非个人房产","——","个人所得税")</f>
        <v>个人所得税</v>
      </c>
      <c r="M57" s="3537"/>
      <c r="N57" s="2436">
        <f ca="1">D61</f>
        <v>3</v>
      </c>
      <c r="O57" s="2437" t="str">
        <f>E61</f>
        <v>销售额×税（费）率</v>
      </c>
      <c r="P57" s="2438">
        <f>F61</f>
        <v>0.01</v>
      </c>
    </row>
    <row r="58" spans="1:17" ht="24.75">
      <c r="A58" s="3449" t="s">
        <v>1563</v>
      </c>
      <c r="B58" s="3445"/>
      <c r="C58" s="3445"/>
      <c r="D58" s="12">
        <f ca="1">IF(H58="个人住宅",D59,D60)</f>
        <v>158</v>
      </c>
      <c r="E58" s="2020" t="s">
        <v>1564</v>
      </c>
      <c r="F58" s="2493" t="str">
        <f>IF(H58="正常",F60,"免征")</f>
        <v>——</v>
      </c>
      <c r="G58" s="2495" t="s">
        <v>1565</v>
      </c>
      <c r="H58" s="2496" t="s">
        <v>1562</v>
      </c>
      <c r="I58" s="2900"/>
      <c r="J58" s="2773"/>
      <c r="K58" s="2431" t="str">
        <f>IF(项目基本情况!I6="上海银行",IF(K57="",4,K57+1),"")</f>
        <v/>
      </c>
      <c r="L58" s="3541" t="str">
        <f>IF(项目基本情况!I6="上海银行","其他处置费用","")</f>
        <v/>
      </c>
      <c r="M58" s="3546"/>
      <c r="N58" s="2433" t="str">
        <f>IF(项目基本情况!I6="上海银行",N71,"")</f>
        <v/>
      </c>
      <c r="O58" s="3541" t="str">
        <f>IF(项目基本情况!I6="上海银行","包含处置中涉及的律师、诉讼、拍卖、评估等费用","")</f>
        <v/>
      </c>
      <c r="P58" s="3542"/>
    </row>
    <row r="59" spans="1:17" ht="12.75">
      <c r="A59" s="2010" t="s">
        <v>1540</v>
      </c>
      <c r="B59" s="3496" t="s">
        <v>1566</v>
      </c>
      <c r="C59" s="3485"/>
      <c r="D59" s="2486">
        <v>0</v>
      </c>
      <c r="E59" s="261" t="s">
        <v>1542</v>
      </c>
      <c r="F59" s="235"/>
      <c r="G59" s="2494"/>
      <c r="H59" s="2900"/>
      <c r="I59" s="2900"/>
      <c r="J59" s="2773"/>
      <c r="K59" s="3537">
        <f>IF(AND(K57="",K58=""),4,IF(项目基本情况!I6="上海银行",K58+1,K57+1))</f>
        <v>5</v>
      </c>
      <c r="L59" s="3537" t="s">
        <v>1567</v>
      </c>
      <c r="M59" s="2439" t="s">
        <v>1568</v>
      </c>
      <c r="N59" s="2440"/>
      <c r="O59" s="2441">
        <f ca="1">SUMIF(N54:N58,"&lt;9e307")</f>
        <v>176</v>
      </c>
      <c r="P59" s="2442"/>
      <c r="Q59" s="1234">
        <f ca="1">O59/N51</f>
        <v>0.63082437275985659</v>
      </c>
    </row>
    <row r="60" spans="1:17" ht="24.75">
      <c r="A60" s="2010" t="s">
        <v>1551</v>
      </c>
      <c r="B60" s="3496" t="s">
        <v>1569</v>
      </c>
      <c r="C60" s="3484"/>
      <c r="D60" s="12">
        <f ca="1">IF(H60="转让取得",C83,C99)</f>
        <v>158</v>
      </c>
      <c r="E60" s="2020" t="s">
        <v>1564</v>
      </c>
      <c r="F60" s="235" t="s">
        <v>48</v>
      </c>
      <c r="G60" s="2494"/>
      <c r="H60" s="2496" t="s">
        <v>1570</v>
      </c>
      <c r="I60" s="2900"/>
      <c r="J60" s="2773"/>
      <c r="K60" s="3537"/>
      <c r="L60" s="3537"/>
      <c r="M60" s="2439" t="s">
        <v>1571</v>
      </c>
      <c r="N60" s="2443"/>
      <c r="O60" s="2444" t="str">
        <f ca="1">IF(H19="元",NUMBERSTRING(INT(O59),2)&amp;"元整",NUMBERSTRING(INT(O59*10000),2)&amp;"元整")</f>
        <v>壹佰柒拾陆万元整</v>
      </c>
      <c r="P60" s="2445"/>
    </row>
    <row r="61" spans="1:17" ht="26.25" thickBot="1">
      <c r="A61" s="3512" t="s">
        <v>1572</v>
      </c>
      <c r="B61" s="3513"/>
      <c r="C61" s="3513"/>
      <c r="D61" s="69">
        <f ca="1">IF(H61="非个人房产","——",IF(H61="个人住宅（满五唯一有凭证）",0,IF(H61="个人其他（无凭证）",ROUND(D47*F61,0),ROUND(C69*F61,0))))</f>
        <v>3</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43">
        <f>K59+1</f>
        <v>6</v>
      </c>
      <c r="L61" s="3537" t="s">
        <v>1573</v>
      </c>
      <c r="M61" s="2431" t="s">
        <v>1568</v>
      </c>
      <c r="N61" s="2446"/>
      <c r="O61" s="2447">
        <f ca="1">N51-O59</f>
        <v>103</v>
      </c>
      <c r="P61" s="2448"/>
    </row>
    <row r="62" spans="1:17" ht="12" customHeight="1">
      <c r="A62" s="1385"/>
      <c r="B62" s="2481"/>
      <c r="C62" s="2481"/>
      <c r="D62" s="2481"/>
      <c r="E62" s="1385"/>
      <c r="F62" s="2900"/>
      <c r="G62" s="2900"/>
      <c r="H62" s="2895"/>
      <c r="I62" s="905"/>
      <c r="J62" s="2773"/>
      <c r="K62" s="3544"/>
      <c r="L62" s="3537"/>
      <c r="M62" s="2439" t="s">
        <v>1571</v>
      </c>
      <c r="N62" s="2443"/>
      <c r="O62" s="2444" t="str">
        <f ca="1">IF(H19="元",NUMBERSTRING(INT(O61),2)&amp;"元整",NUMBERSTRING(INT(O61*10000),2)&amp;"元整")</f>
        <v>壹佰零叁万元整</v>
      </c>
      <c r="P62" s="2445"/>
    </row>
    <row r="63" spans="1:17" ht="13.5" thickBot="1">
      <c r="A63" s="3545" t="s">
        <v>1574</v>
      </c>
      <c r="B63" s="3545"/>
      <c r="C63" s="3545"/>
      <c r="D63" s="3545"/>
      <c r="E63" s="3545"/>
      <c r="F63" s="2900"/>
      <c r="G63" s="2900"/>
      <c r="H63" s="2895"/>
      <c r="I63" s="905"/>
      <c r="J63" s="2765"/>
      <c r="K63" s="2431">
        <f>K61+1</f>
        <v>7</v>
      </c>
      <c r="L63" s="3537" t="s">
        <v>1575</v>
      </c>
      <c r="M63" s="3537"/>
      <c r="N63" s="2449"/>
      <c r="O63" s="2450">
        <f ca="1">IF(H19="元",ROUND(O61/项目基本情况!C12,0),ROUND(O61*10000/项目基本情况!C12,0))</f>
        <v>5843</v>
      </c>
      <c r="P63" s="2451"/>
    </row>
    <row r="64" spans="1:17" ht="12.75">
      <c r="A64" s="3463" t="s">
        <v>1576</v>
      </c>
      <c r="B64" s="3464"/>
      <c r="C64" s="1535"/>
      <c r="D64" s="1535" t="s">
        <v>1577</v>
      </c>
      <c r="E64" s="45" t="s">
        <v>1578</v>
      </c>
      <c r="F64" s="2900"/>
      <c r="G64" s="2900"/>
      <c r="H64" s="2895"/>
      <c r="I64" s="905"/>
      <c r="J64" s="2765"/>
      <c r="K64" s="1236"/>
      <c r="L64" s="1236"/>
      <c r="M64" s="1236"/>
      <c r="N64" s="1236"/>
      <c r="O64" s="1236"/>
    </row>
    <row r="65" spans="1:36" ht="12.75">
      <c r="A65" s="46">
        <v>1</v>
      </c>
      <c r="B65" s="47" t="s">
        <v>1579</v>
      </c>
      <c r="C65" s="2704">
        <f ca="1">ROUND((C66+C67)/(1+'数据-取费表'!F30),0)</f>
        <v>266</v>
      </c>
      <c r="D65" s="47"/>
      <c r="E65" s="48"/>
      <c r="F65" s="2900"/>
      <c r="G65" s="2900"/>
      <c r="H65" s="2895"/>
      <c r="I65" s="905"/>
      <c r="J65" s="2765"/>
      <c r="K65" s="3533" t="s">
        <v>1580</v>
      </c>
      <c r="L65" s="1235" t="s">
        <v>1581</v>
      </c>
      <c r="M65" s="1235">
        <f ca="1">IF(N51&gt;10000,N51*0.5%,IF(AND(N51&gt;1000,N51&lt;=10000),N51*1%,IF(AND(N51&gt;100,N51&lt;=1000),N51*3%,IF(AND(N51&gt;10,N51&lt;=100),N51*5%,N51*8%))))</f>
        <v>8.3699999999999992</v>
      </c>
      <c r="N65" s="235">
        <f ca="1">ROUND(M65,1)</f>
        <v>8.4</v>
      </c>
      <c r="O65" s="2452"/>
    </row>
    <row r="66" spans="1:36" ht="12.75">
      <c r="A66" s="49" t="s">
        <v>71</v>
      </c>
      <c r="B66" s="50" t="s">
        <v>1582</v>
      </c>
      <c r="C66" s="2705">
        <f ca="1">D47</f>
        <v>279</v>
      </c>
      <c r="D66" s="50" t="s">
        <v>41</v>
      </c>
      <c r="E66" s="52"/>
      <c r="F66" s="2900"/>
      <c r="G66" s="2900"/>
      <c r="H66" s="2895"/>
      <c r="I66" s="905"/>
      <c r="J66" s="2765"/>
      <c r="K66" s="3533"/>
      <c r="L66" s="1235" t="s">
        <v>1583</v>
      </c>
      <c r="M66" s="1235">
        <f ca="1">IF(N51&gt;2000,N51*0.5%,IF(AND(N51&gt;1000,N51&lt;=2000),N51*0.6%,IF(AND(N51&gt;500,N51&lt;=1000),N51*0.7%,IF(AND(N51&gt;200,N51&lt;=500),N51*0.8%,IF(AND(N51&gt;100,N51&lt;=200),N51*0.9%,IF(AND(N51&gt;50,N51&lt;=100),N51*1%,IF(AND(N51&gt;20,N51&lt;=50),N51*1.5%,IF(AND(N51&gt;10,N51&lt;=20),N51*2%,IF(AND(N51&gt;1,N51&lt;=10),N51*2.5%)))))))))</f>
        <v>2.2320000000000002</v>
      </c>
      <c r="N66" s="235">
        <f t="shared" ref="N66:N67" ca="1" si="2">ROUND(M66,1)</f>
        <v>2.2000000000000002</v>
      </c>
      <c r="O66" s="2452" t="s">
        <v>1584</v>
      </c>
    </row>
    <row r="67" spans="1:36" ht="12.75">
      <c r="A67" s="49" t="s">
        <v>72</v>
      </c>
      <c r="B67" s="50" t="s">
        <v>1585</v>
      </c>
      <c r="C67" s="2706"/>
      <c r="D67" s="50"/>
      <c r="E67" s="52"/>
      <c r="F67" s="2900"/>
      <c r="G67" s="2900"/>
      <c r="H67" s="2895"/>
      <c r="I67" s="905"/>
      <c r="J67" s="2765"/>
      <c r="K67" s="3533"/>
      <c r="L67" s="1235" t="s">
        <v>1586</v>
      </c>
      <c r="M67" s="1235">
        <f ca="1">IF(N51&gt;1000,N51*0.1%,IF(AND(N51&gt;500,N51&lt;=1000),N51*0.5%,IF(AND(N51&gt;50,N51&lt;=500),N51*1%,IF(AND(N51&gt;1,N51&lt;=50),N51*1.5%))))</f>
        <v>2.79</v>
      </c>
      <c r="N67" s="235">
        <f t="shared" ca="1" si="2"/>
        <v>2.8</v>
      </c>
      <c r="O67" s="2452" t="s">
        <v>1584</v>
      </c>
    </row>
    <row r="68" spans="1:36" ht="12.75">
      <c r="A68" s="53" t="s">
        <v>47</v>
      </c>
      <c r="B68" s="54" t="s">
        <v>1587</v>
      </c>
      <c r="C68" s="2707"/>
      <c r="D68" s="54" t="s">
        <v>41</v>
      </c>
      <c r="E68" s="1244" t="s">
        <v>1588</v>
      </c>
      <c r="F68" s="2900"/>
      <c r="G68" s="2900"/>
      <c r="H68" s="2895"/>
      <c r="I68" s="905"/>
      <c r="J68" s="2765"/>
      <c r="K68" s="3533"/>
      <c r="L68" s="1235" t="s">
        <v>1589</v>
      </c>
      <c r="M68" s="1235">
        <f ca="1">N51*0.5%</f>
        <v>1.395</v>
      </c>
      <c r="N68" s="235">
        <f ca="1">IF(M68&gt;0.5,0.5,ROUND(M68,0))</f>
        <v>0.5</v>
      </c>
      <c r="O68" s="2452" t="s">
        <v>1590</v>
      </c>
    </row>
    <row r="69" spans="1:36" ht="12.75">
      <c r="A69" s="53" t="s">
        <v>42</v>
      </c>
      <c r="B69" s="54" t="s">
        <v>1591</v>
      </c>
      <c r="C69" s="2708">
        <f ca="1">C65-C68</f>
        <v>266</v>
      </c>
      <c r="D69" s="50" t="s">
        <v>41</v>
      </c>
      <c r="E69" s="52"/>
      <c r="F69" s="2900"/>
      <c r="G69" s="2900"/>
      <c r="H69" s="2895"/>
      <c r="I69" s="905"/>
      <c r="J69" s="2765"/>
      <c r="K69" s="3533"/>
      <c r="L69" s="1235" t="s">
        <v>1592</v>
      </c>
      <c r="M69" s="1235">
        <f ca="1">IF(N51&gt;=10000,(8.25+(N51-10000)*0.01%),IF(AND(N51&gt;=8000,N51&lt;10000),(7.85+(N51-8000)*0.02%),IF(AND(N51&gt;=5000,N51&lt;8000),(6.65+(N51-5000)*0.04%),IF(AND(N51&gt;=2000,N51&lt;5000),(4.25+(PN51-2000)*0.08%),IF(AND(N51&gt;=1000,N51&lt;2000),(2.75+(N51-1000)*0.15%),IF(AND(N51&gt;=100,N51&lt;1000),(0.5+(N51-100)*0.25%),IF(AND(N51&gt;0,N51&lt;100),N51*0.5%)))))))</f>
        <v>0.94750000000000001</v>
      </c>
      <c r="N69" s="235">
        <f ca="1">ROUND(M69*0.9,1)</f>
        <v>0.9</v>
      </c>
      <c r="O69" s="2452"/>
    </row>
    <row r="70" spans="1:36" ht="13.5" thickBot="1">
      <c r="A70" s="55" t="s">
        <v>46</v>
      </c>
      <c r="B70" s="56" t="s">
        <v>1593</v>
      </c>
      <c r="C70" s="2709">
        <f ca="1">IF(C69&lt;=0,0,ROUND(C69*D70,0))</f>
        <v>15</v>
      </c>
      <c r="D70" s="2170">
        <f>'数据-取费表'!E29</f>
        <v>5.6000000000000001E-2</v>
      </c>
      <c r="E70" s="57"/>
      <c r="F70" s="2900"/>
      <c r="G70" s="2900"/>
      <c r="H70" s="2895"/>
      <c r="I70" s="905"/>
      <c r="J70" s="2765"/>
      <c r="K70" s="3533"/>
      <c r="L70" s="1235" t="s">
        <v>1594</v>
      </c>
      <c r="M70" s="1235">
        <f ca="1">IF(N51&gt;10000,N51*0.5%,IF(AND(N51&gt;5000,N51&lt;=10000),N51*1%,IF(AND(N51&gt;1000,N51&lt;=5000),N51*2%,IF(AND(N51&gt;200,N51&lt;=1000),N51*3%,N51*5%))))</f>
        <v>8.3699999999999992</v>
      </c>
      <c r="N70" s="235">
        <f ca="1">ROUND(M70,1)</f>
        <v>8.4</v>
      </c>
      <c r="O70" s="2452"/>
    </row>
    <row r="71" spans="1:36" s="1393" customFormat="1" ht="7.5" customHeight="1">
      <c r="A71" s="1405"/>
      <c r="B71" s="1406"/>
      <c r="C71" s="2710"/>
      <c r="D71" s="2213"/>
      <c r="E71" s="1409"/>
      <c r="F71" s="1385"/>
      <c r="G71" s="1385"/>
      <c r="H71" s="1409"/>
      <c r="I71" s="2481"/>
      <c r="J71" s="2765"/>
      <c r="K71" s="3533"/>
      <c r="L71" s="1235" t="s">
        <v>1595</v>
      </c>
      <c r="M71" s="1235"/>
      <c r="N71" s="235">
        <f ca="1">ROUND(SUM(N65:N70),0)</f>
        <v>23</v>
      </c>
      <c r="O71" s="2453">
        <f ca="1">N71/N51</f>
        <v>8.2437275985663083E-2</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50" t="s">
        <v>1596</v>
      </c>
      <c r="B72" s="3551"/>
      <c r="C72" s="3551"/>
      <c r="D72" s="3551"/>
      <c r="E72" s="3551"/>
      <c r="F72" s="3551"/>
      <c r="G72" s="3551"/>
      <c r="H72" s="3551"/>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3" t="s">
        <v>1576</v>
      </c>
      <c r="B73" s="3464"/>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 ca="1">ROUND(D47/(1+'数据-取费表'!F30),0)</f>
        <v>266</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 ca="1">C76+C80</f>
        <v>2</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96" t="s">
        <v>1606</v>
      </c>
      <c r="F78" s="3484"/>
      <c r="G78" s="3484"/>
      <c r="H78" s="3497"/>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 ca="1">ROUND(D47*D80/(1+'数据-取费表'!F30),0)</f>
        <v>2</v>
      </c>
      <c r="D80" s="2717">
        <f>'数据-取费表'!E31</f>
        <v>6.000000000000001E-3</v>
      </c>
      <c r="E80" s="3432" t="s">
        <v>1611</v>
      </c>
      <c r="F80" s="3433"/>
      <c r="G80" s="3433"/>
      <c r="H80" s="3453"/>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 ca="1">C74-C75</f>
        <v>264</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 ca="1">IF(C81&lt;=0,0,C81/C75)</f>
        <v>132</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 ca="1">ROUND(IF(C81&lt;=0,0,IF(C82&gt;=200%,C81*60%-C75*35%,IF(C82&gt;=100%,C81*50%-C75*15%,IF(C82&gt;=50%,C81*40%-C75*5%,IF(C82&lt;50%,C81*30%,0))))),0)</f>
        <v>158</v>
      </c>
      <c r="D83" s="210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50" t="s">
        <v>1615</v>
      </c>
      <c r="B85" s="3551"/>
      <c r="C85" s="3551"/>
      <c r="D85" s="3551"/>
      <c r="E85" s="3551"/>
      <c r="F85" s="3551"/>
      <c r="G85" s="3551"/>
      <c r="H85" s="3551"/>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3" t="s">
        <v>1576</v>
      </c>
      <c r="B86" s="3464"/>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 ca="1">ROUND(D47/(1+'数据-取费表'!F30),0)</f>
        <v>266</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 ca="1">IF(H90="仅含出让金",C89+C92+C93+C94+C95+C96,C89+C93+C94+C95+C96)</f>
        <v>2</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72" t="s">
        <v>2493</v>
      </c>
      <c r="H92" s="3552"/>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32" t="s">
        <v>1623</v>
      </c>
      <c r="F93" s="3433"/>
      <c r="G93" s="3433"/>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32" t="s">
        <v>1626</v>
      </c>
      <c r="F94" s="3433"/>
      <c r="G94" s="3433"/>
      <c r="H94" s="3453"/>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 ca="1">ROUND(D47*D95/(1+'数据-取费表'!F30),0)</f>
        <v>2</v>
      </c>
      <c r="D95" s="2717">
        <f>'数据-取费表'!E31</f>
        <v>6.000000000000001E-3</v>
      </c>
      <c r="E95" s="3432" t="s">
        <v>1611</v>
      </c>
      <c r="F95" s="3433"/>
      <c r="G95" s="3433"/>
      <c r="H95" s="3453"/>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32" t="s">
        <v>1628</v>
      </c>
      <c r="F96" s="3433"/>
      <c r="G96" s="3433"/>
      <c r="H96" s="3453"/>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 ca="1">ROUND(C87-C88,0)</f>
        <v>264</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 ca="1">IF(C97&lt;=0,0,C97/C88)</f>
        <v>132</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 ca="1">ROUND(IF(C97&lt;=0,0,IF(C98&gt;=200%,C97*60%-C88*35%,IF(C98&gt;=100%,C97*50%-C88*15%,IF(C98&gt;=50%,C97*40%-C88*5%,IF(C98&lt;50%,C97*30%,0))))),0)</f>
        <v>158</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50" t="s">
        <v>1630</v>
      </c>
      <c r="B101" s="3451"/>
      <c r="C101" s="3451"/>
      <c r="D101" s="3452"/>
      <c r="E101" s="1389"/>
      <c r="F101" s="3547" t="s">
        <v>2535</v>
      </c>
      <c r="G101" s="3548"/>
      <c r="H101" s="3548"/>
      <c r="I101" s="3549"/>
      <c r="J101" s="2800"/>
    </row>
    <row r="102" spans="1:36" ht="15">
      <c r="A102" s="3467" t="s">
        <v>1632</v>
      </c>
      <c r="B102" s="3468"/>
      <c r="C102" s="2723" t="str">
        <f>C4</f>
        <v>比较法-办公</v>
      </c>
      <c r="D102" s="2724" t="str">
        <f>D4</f>
        <v>收益法</v>
      </c>
      <c r="E102" s="1389"/>
      <c r="F102" s="3469" t="s">
        <v>2536</v>
      </c>
      <c r="G102" s="3471"/>
      <c r="H102" s="3482" t="s">
        <v>2537</v>
      </c>
      <c r="I102" s="3470"/>
      <c r="J102" s="2780"/>
    </row>
    <row r="103" spans="1:36" ht="12.75">
      <c r="A103" s="3553" t="s">
        <v>2531</v>
      </c>
      <c r="B103" s="2235" t="str">
        <f>IF(H19="元","总价（元）","总价（万元）")</f>
        <v>总价（万元）</v>
      </c>
      <c r="C103" s="1235">
        <f ca="1">C19</f>
        <v>558</v>
      </c>
      <c r="D103" s="2727">
        <f ca="1">D19</f>
        <v>557</v>
      </c>
      <c r="E103" s="1389"/>
      <c r="F103" s="3554"/>
      <c r="G103" s="3555"/>
      <c r="H103" s="3473">
        <f>典型户型修正!B25</f>
        <v>88.15</v>
      </c>
      <c r="I103" s="3470"/>
      <c r="J103" s="2780"/>
    </row>
    <row r="104" spans="1:36" ht="12.75">
      <c r="A104" s="3553"/>
      <c r="B104" s="2235" t="s">
        <v>2532</v>
      </c>
      <c r="C104" s="2728">
        <f ca="1">C20</f>
        <v>31646</v>
      </c>
      <c r="D104" s="2729">
        <f ca="1">D20</f>
        <v>31618</v>
      </c>
      <c r="E104" s="1389"/>
      <c r="F104" s="3456" t="s">
        <v>2538</v>
      </c>
      <c r="G104" s="3457"/>
      <c r="H104" s="2737" t="str">
        <f>C110</f>
        <v>总价（万元）</v>
      </c>
      <c r="I104" s="2738">
        <f ca="1">H125</f>
        <v>279</v>
      </c>
      <c r="J104" s="2780"/>
    </row>
    <row r="105" spans="1:36" ht="12.75">
      <c r="A105" s="3553" t="s">
        <v>2533</v>
      </c>
      <c r="B105" s="2173" t="str">
        <f>B103</f>
        <v>总价（万元）</v>
      </c>
      <c r="C105" s="12">
        <f ca="1">ROUND(IF('数据-取费表'!B4="总价",G19,IF(H19="元",G20*'数据-取费表'!E5,G20*'数据-取费表'!E5/10000)),0)</f>
        <v>558</v>
      </c>
      <c r="D105" s="2730"/>
      <c r="E105" s="1389"/>
      <c r="F105" s="3456"/>
      <c r="G105" s="3457"/>
      <c r="H105" s="2737" t="s">
        <v>2539</v>
      </c>
      <c r="I105" s="52">
        <f ca="1">I125</f>
        <v>31651</v>
      </c>
      <c r="J105" s="2764"/>
    </row>
    <row r="106" spans="1:36" ht="12.75">
      <c r="A106" s="3553"/>
      <c r="B106" s="2235" t="s">
        <v>2532</v>
      </c>
      <c r="C106" s="1409" t="e">
        <f ca="1">ROUND(IF('数据-取费表'!B4="楼面单价",G20,IF(H19="元",G19/'数据-取费表'!E5,G19*10000/'数据-取费表'!E5)),0)</f>
        <v>#DIV/0!</v>
      </c>
      <c r="D106" s="2730"/>
      <c r="E106" s="1389"/>
      <c r="F106" s="3456"/>
      <c r="G106" s="3457"/>
      <c r="H106" s="3488"/>
      <c r="I106" s="3489"/>
      <c r="J106" s="2781"/>
    </row>
    <row r="107" spans="1:36" ht="12.75">
      <c r="A107" s="3560" t="s">
        <v>2534</v>
      </c>
      <c r="B107" s="2731" t="str">
        <f>B103</f>
        <v>总价（万元）</v>
      </c>
      <c r="C107" s="2732">
        <f ca="1">H125</f>
        <v>279</v>
      </c>
      <c r="D107" s="2733"/>
      <c r="E107" s="1389"/>
      <c r="F107" s="3492" t="s">
        <v>2540</v>
      </c>
      <c r="G107" s="3493"/>
      <c r="H107" s="2739" t="str">
        <f>C112</f>
        <v>总额（万元）</v>
      </c>
      <c r="I107" s="2738">
        <f>SUMIF(I108:I110,"&lt;9E307")</f>
        <v>0</v>
      </c>
      <c r="J107" s="2780"/>
    </row>
    <row r="108" spans="1:36" ht="15" thickBot="1">
      <c r="A108" s="3487"/>
      <c r="B108" s="2734" t="s">
        <v>2532</v>
      </c>
      <c r="C108" s="2735">
        <f ca="1">I125</f>
        <v>31651</v>
      </c>
      <c r="D108" s="2736"/>
      <c r="E108" s="1389"/>
      <c r="F108" s="3458" t="s">
        <v>2541</v>
      </c>
      <c r="G108" s="3459"/>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56" t="s">
        <v>1633</v>
      </c>
      <c r="B109" s="3557"/>
      <c r="C109" s="3557"/>
      <c r="D109" s="3558"/>
      <c r="E109" s="1389"/>
      <c r="F109" s="3458" t="s">
        <v>2542</v>
      </c>
      <c r="G109" s="3459"/>
      <c r="H109" s="2739" t="str">
        <f>C114</f>
        <v>总额（万元）</v>
      </c>
      <c r="I109" s="52">
        <f>C39</f>
        <v>0</v>
      </c>
      <c r="J109" s="2764"/>
    </row>
    <row r="110" spans="1:36" ht="12.75">
      <c r="A110" s="3456" t="s">
        <v>2545</v>
      </c>
      <c r="B110" s="3457"/>
      <c r="C110" s="2737" t="str">
        <f>B103</f>
        <v>总价（万元）</v>
      </c>
      <c r="D110" s="2738">
        <f ca="1">H125</f>
        <v>279</v>
      </c>
      <c r="E110" s="1389"/>
      <c r="F110" s="3458" t="s">
        <v>2543</v>
      </c>
      <c r="G110" s="3459"/>
      <c r="H110" s="2739" t="str">
        <f>C115</f>
        <v>总额（万元）</v>
      </c>
      <c r="I110" s="52">
        <f>C40</f>
        <v>0</v>
      </c>
      <c r="J110" s="2764"/>
    </row>
    <row r="111" spans="1:36" ht="12.75">
      <c r="A111" s="3456"/>
      <c r="B111" s="3457"/>
      <c r="C111" s="2737" t="s">
        <v>2546</v>
      </c>
      <c r="D111" s="52">
        <f ca="1">I125</f>
        <v>31651</v>
      </c>
      <c r="E111" s="1389"/>
      <c r="F111" s="3456"/>
      <c r="G111" s="3457"/>
      <c r="H111" s="3490"/>
      <c r="I111" s="3491"/>
      <c r="J111" s="2782"/>
    </row>
    <row r="112" spans="1:36" ht="28.5" customHeight="1">
      <c r="A112" s="3527" t="s">
        <v>2540</v>
      </c>
      <c r="B112" s="3528"/>
      <c r="C112" s="2739" t="str">
        <f>IF(H19="元","总额（元）","总额（万元）")</f>
        <v>总额（万元）</v>
      </c>
      <c r="D112" s="2738">
        <f>IF(D38="正常操作",I108+I109+I110,I109+I110)</f>
        <v>0</v>
      </c>
      <c r="E112" s="1389"/>
      <c r="F112" s="3439" t="str">
        <f>IF(项目基本情况!F5="已注销","——","3.房地产抵押价值")</f>
        <v>3.房地产抵押价值</v>
      </c>
      <c r="G112" s="3440"/>
      <c r="H112" s="1409" t="str">
        <f>C116</f>
        <v>总价（万元）</v>
      </c>
      <c r="I112" s="2738">
        <f ca="1">IF(F112="——","——",I104-I107)</f>
        <v>279</v>
      </c>
      <c r="J112" s="2780"/>
    </row>
    <row r="113" spans="1:27" ht="12.75">
      <c r="A113" s="3458" t="s">
        <v>2547</v>
      </c>
      <c r="B113" s="3459"/>
      <c r="C113" s="2739" t="str">
        <f>C112</f>
        <v>总额（万元）</v>
      </c>
      <c r="D113" s="52">
        <f>IF(D38="同一抵押权人同一抵押物续贷",C38&amp;"（未扣减，详见特别提示）",C38)</f>
        <v>0</v>
      </c>
      <c r="E113" s="1389"/>
      <c r="F113" s="3441"/>
      <c r="G113" s="3442"/>
      <c r="H113" s="2737" t="s">
        <v>2539</v>
      </c>
      <c r="I113" s="2741">
        <f ca="1">D117</f>
        <v>31651</v>
      </c>
      <c r="J113" s="2783"/>
    </row>
    <row r="114" spans="1:27" ht="12.75">
      <c r="A114" s="3458" t="s">
        <v>2548</v>
      </c>
      <c r="B114" s="3459"/>
      <c r="C114" s="2739" t="str">
        <f>C112</f>
        <v>总额（万元）</v>
      </c>
      <c r="D114" s="52">
        <f>C39</f>
        <v>0</v>
      </c>
      <c r="E114" s="1389"/>
      <c r="F114" s="3439" t="str">
        <f>IF(项目基本情况!F5="已注销及未注销","4.抵押担保权已注销时的房地产抵押价值",IF(项目基本情况!F5="已注销","3.抵押担保权已注销时的房地产抵押价值","——"))</f>
        <v>——</v>
      </c>
      <c r="G114" s="3440"/>
      <c r="H114" s="1409" t="str">
        <f>C118</f>
        <v>总价（万元）</v>
      </c>
      <c r="I114" s="2738" t="str">
        <f>IF(F114="——","——",I104-I109-I110)</f>
        <v>——</v>
      </c>
      <c r="J114" s="2780"/>
    </row>
    <row r="115" spans="1:27" ht="12.75">
      <c r="A115" s="3458" t="s">
        <v>2549</v>
      </c>
      <c r="B115" s="3459"/>
      <c r="C115" s="2739" t="str">
        <f>C112</f>
        <v>总额（万元）</v>
      </c>
      <c r="D115" s="52">
        <f>C40</f>
        <v>0</v>
      </c>
      <c r="E115" s="1389"/>
      <c r="F115" s="3441"/>
      <c r="G115" s="3442"/>
      <c r="H115" s="2737" t="s">
        <v>2539</v>
      </c>
      <c r="I115" s="52" t="str">
        <f>D119</f>
        <v>——</v>
      </c>
      <c r="J115" s="2764"/>
    </row>
    <row r="116" spans="1:27" ht="12.75">
      <c r="A116" s="3456" t="str">
        <f>IF(项目基本情况!F5="已注销","——","3.房地产抵押价值")</f>
        <v>3.房地产抵押价值</v>
      </c>
      <c r="B116" s="3457"/>
      <c r="C116" s="2737" t="str">
        <f>B103</f>
        <v>总价（万元）</v>
      </c>
      <c r="D116" s="2738">
        <f ca="1">IF(A116="——","——",D110-D112)</f>
        <v>279</v>
      </c>
      <c r="E116" s="1389"/>
      <c r="F116" s="3439" t="str">
        <f>IF(项目基本情况!G5="抵押净值",IF(OR(项目基本情况!F5="已注销",项目基本情况!F5="房地产抵押价值"),"4.抵押净值","5.抵押净值"),"——")</f>
        <v>——</v>
      </c>
      <c r="G116" s="3440"/>
      <c r="H116" s="2737" t="str">
        <f>C120</f>
        <v>总价（万元）</v>
      </c>
      <c r="I116" s="2738" t="str">
        <f>IF(F116="——","——",O61)</f>
        <v>——</v>
      </c>
      <c r="J116" s="2780"/>
    </row>
    <row r="117" spans="1:27" ht="13.5" thickBot="1">
      <c r="A117" s="3456"/>
      <c r="B117" s="3457"/>
      <c r="C117" s="2737" t="s">
        <v>2546</v>
      </c>
      <c r="D117" s="52">
        <f ca="1">ROUND(IF(D116=D110,D111,IF(H19="元",D116/B125,D116*10000/B125)),0)</f>
        <v>31651</v>
      </c>
      <c r="E117" s="1389"/>
      <c r="F117" s="3519"/>
      <c r="G117" s="3520"/>
      <c r="H117" s="2742" t="s">
        <v>2539</v>
      </c>
      <c r="I117" s="2726" t="str">
        <f ca="1">D121</f>
        <v>——</v>
      </c>
      <c r="J117" s="2764"/>
    </row>
    <row r="118" spans="1:27" ht="15.75">
      <c r="A118" s="3456" t="str">
        <f>IF(项目基本情况!F5="已注销及未注销","4.抵押担保权已注销时的房地产抵押价值",IF(项目基本情况!F5="已注销","3.抵押担保权已注销时的房地产抵押价值","——"))</f>
        <v>——</v>
      </c>
      <c r="B118" s="3457"/>
      <c r="C118" s="2737" t="str">
        <f>B103</f>
        <v>总价（万元）</v>
      </c>
      <c r="D118" s="2738" t="str">
        <f>IF(A118="——","——",D110-D114-D115)</f>
        <v>——</v>
      </c>
      <c r="E118" s="1389"/>
      <c r="F118" s="3434"/>
      <c r="G118" s="3434"/>
      <c r="H118" s="3475"/>
      <c r="I118" s="3475"/>
      <c r="J118" s="2784"/>
      <c r="O118" s="32"/>
      <c r="P118" s="32"/>
    </row>
    <row r="119" spans="1:27" s="1236" customFormat="1" ht="12.75">
      <c r="A119" s="3456"/>
      <c r="B119" s="3457"/>
      <c r="C119" s="2737" t="s">
        <v>2546</v>
      </c>
      <c r="D119" s="52" t="str">
        <f>IF(A118="——","——",IF(H19="元",ROUND(D118/B125,0),ROUND(D118*10000/B125,0)))</f>
        <v>——</v>
      </c>
      <c r="E119" s="1389"/>
      <c r="F119" s="3559" t="str">
        <f>IF(B33="总价","（以上估价结果中楼面单价为总价除以建筑面积得出）","（以上估价结果中总价为楼面单价乘以建筑面积得出）")</f>
        <v>（以上估价结果中总价为楼面单价乘以建筑面积得出）</v>
      </c>
      <c r="G119" s="3559"/>
      <c r="H119" s="3559"/>
      <c r="I119" s="3559"/>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6" t="str">
        <f>IF(项目基本情况!G5="抵押净值",IF(OR(项目基本情况!F5="已注销",项目基本情况!F5="房地产抵押价值"),"4.抵押净值","5.抵押净值"),"——")</f>
        <v>——</v>
      </c>
      <c r="B120" s="3457"/>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5"/>
      <c r="B121" s="3526"/>
      <c r="C121" s="2742" t="s">
        <v>2546</v>
      </c>
      <c r="D121" s="2726" t="str">
        <f ca="1">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6" t="s">
        <v>1672</v>
      </c>
      <c r="B122" s="3477"/>
      <c r="C122" s="3477"/>
      <c r="D122" s="3477"/>
      <c r="E122" s="3477"/>
      <c r="F122" s="3477"/>
      <c r="G122" s="3477"/>
      <c r="H122" s="3477"/>
      <c r="I122" s="3477"/>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9" t="s">
        <v>2550</v>
      </c>
      <c r="B123" s="3447" t="s">
        <v>2551</v>
      </c>
      <c r="C123" s="3447" t="s">
        <v>2557</v>
      </c>
      <c r="D123" s="3454" t="s">
        <v>2552</v>
      </c>
      <c r="E123" s="3455"/>
      <c r="F123" s="3445" t="s">
        <v>2558</v>
      </c>
      <c r="G123" s="3445"/>
      <c r="H123" s="3445" t="s">
        <v>2553</v>
      </c>
      <c r="I123" s="3446"/>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9"/>
      <c r="B124" s="3448"/>
      <c r="C124" s="3448"/>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88.15</v>
      </c>
      <c r="C125" s="1384"/>
      <c r="D125" s="2020">
        <f>C36</f>
        <v>0</v>
      </c>
      <c r="E125" s="2020">
        <f>ROUND(IF(H19="元",D125/B125,D125*10000/B125),0)</f>
        <v>0</v>
      </c>
      <c r="F125" s="2020">
        <f>C37</f>
        <v>0</v>
      </c>
      <c r="G125" s="2020">
        <f>ROUND(IF(H19="元",F125/B125,F125*10000/B125),0)</f>
        <v>0</v>
      </c>
      <c r="H125" s="2020">
        <f ca="1">C34</f>
        <v>279</v>
      </c>
      <c r="I125" s="52">
        <f ca="1">C35</f>
        <v>31651</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9" t="s">
        <v>2556</v>
      </c>
      <c r="B126" s="3445"/>
      <c r="C126" s="3445"/>
      <c r="D126" s="3480" t="str">
        <f>IF(H19="元",NUMBERSTRING(INT(D125),2)&amp;"元整",NUMBERSTRING(INT(D125*10000),2)&amp;"元整")</f>
        <v>零元整</v>
      </c>
      <c r="E126" s="3481"/>
      <c r="F126" s="3480" t="str">
        <f>IF(H19="元",NUMBERSTRING(INT(F125),2)&amp;"元整",NUMBERSTRING(INT(F125*10000),2)&amp;"元整")</f>
        <v>零元整</v>
      </c>
      <c r="G126" s="3481"/>
      <c r="H126" s="3480" t="str">
        <f ca="1">IF(H19="元",NUMBERSTRING(INT(H125),2)&amp;"元整",NUMBERSTRING(INT(H125*10000),2)&amp;"元整")</f>
        <v>贰佰柒拾玖万元整</v>
      </c>
      <c r="I126" s="3529"/>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9" t="str">
        <f>IF(项目基本情况!D5="房地产市场价值","——",MID(A112,3,LEN(A112)-2))</f>
        <v>估价师所知悉的法定优先受偿款</v>
      </c>
      <c r="B127" s="3482"/>
      <c r="C127" s="3471"/>
      <c r="D127" s="3473">
        <f>I107</f>
        <v>0</v>
      </c>
      <c r="E127" s="3482"/>
      <c r="F127" s="3482"/>
      <c r="G127" s="3482"/>
      <c r="H127" s="3482"/>
      <c r="I127" s="3470"/>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3" t="s">
        <v>2556</v>
      </c>
      <c r="B128" s="3484"/>
      <c r="C128" s="3485"/>
      <c r="D128" s="3521">
        <f>H111</f>
        <v>0</v>
      </c>
      <c r="E128" s="3522"/>
      <c r="F128" s="3522"/>
      <c r="G128" s="3522"/>
      <c r="H128" s="3522"/>
      <c r="I128" s="3523"/>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6" t="str">
        <f>IF(项目基本情况!D5="房地产市场价值","——",MID(A116,3,LEN(A116)-2))</f>
        <v>房地产抵押价值</v>
      </c>
      <c r="B129" s="3457"/>
      <c r="C129" s="3457"/>
      <c r="D129" s="3473">
        <f ca="1">I112</f>
        <v>279</v>
      </c>
      <c r="E129" s="3482"/>
      <c r="F129" s="3482"/>
      <c r="G129" s="3482"/>
      <c r="H129" s="3482"/>
      <c r="I129" s="3470"/>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9" t="s">
        <v>2556</v>
      </c>
      <c r="B130" s="3445"/>
      <c r="C130" s="3445"/>
      <c r="D130" s="3521">
        <f ca="1">I113</f>
        <v>31651</v>
      </c>
      <c r="E130" s="3522"/>
      <c r="F130" s="3522"/>
      <c r="G130" s="3522"/>
      <c r="H130" s="3522"/>
      <c r="I130" s="3523"/>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6" t="str">
        <f>IF(项目基本情况!D5="房地产市场价值","——",MID(A118,3,LEN(A118)-2))</f>
        <v/>
      </c>
      <c r="B131" s="3457"/>
      <c r="C131" s="3457"/>
      <c r="D131" s="3429" t="str">
        <f>I114</f>
        <v>——</v>
      </c>
      <c r="E131" s="3430"/>
      <c r="F131" s="3430"/>
      <c r="G131" s="3430"/>
      <c r="H131" s="3430"/>
      <c r="I131" s="3431"/>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9" t="s">
        <v>2556</v>
      </c>
      <c r="B132" s="3445"/>
      <c r="C132" s="3496"/>
      <c r="D132" s="3474" t="str">
        <f>I115</f>
        <v>——</v>
      </c>
      <c r="E132" s="3474"/>
      <c r="F132" s="3474"/>
      <c r="G132" s="3474"/>
      <c r="H132" s="3474"/>
      <c r="I132" s="3474"/>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6" t="str">
        <f>IF(项目基本情况!D5="房地产市场价值","——",MID(F116,3,LEN(F116)-2))</f>
        <v/>
      </c>
      <c r="B133" s="3457"/>
      <c r="C133" s="3473"/>
      <c r="D133" s="3524" t="str">
        <f>I116</f>
        <v>——</v>
      </c>
      <c r="E133" s="3524"/>
      <c r="F133" s="3524"/>
      <c r="G133" s="3524"/>
      <c r="H133" s="3524"/>
      <c r="I133" s="3524"/>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2" t="s">
        <v>2556</v>
      </c>
      <c r="B134" s="3513"/>
      <c r="C134" s="3513"/>
      <c r="D134" s="3530">
        <f>H118</f>
        <v>0</v>
      </c>
      <c r="E134" s="3531"/>
      <c r="F134" s="3531"/>
      <c r="G134" s="3531"/>
      <c r="H134" s="3531"/>
      <c r="I134" s="3532"/>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7" t="str">
        <f>IF(B33="总价","（以上估价结果中楼面单价为总价除以建筑面积得出）","（以上估价结果中总价为楼面单价乘以建筑面积得出）")</f>
        <v>（以上估价结果中总价为楼面单价乘以建筑面积得出）</v>
      </c>
      <c r="B136" s="3517"/>
      <c r="C136" s="3517"/>
      <c r="D136" s="3517"/>
      <c r="E136" s="3517"/>
      <c r="F136" s="3517"/>
      <c r="G136" s="3517"/>
      <c r="H136" s="3517"/>
      <c r="I136" s="3517"/>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221</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12521</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35258</v>
      </c>
      <c r="D10" s="1101">
        <f>IF('数据-取费表'!B10&lt;&gt;"住宅",IF(B1="仅计算典型户型",'数据-取费表'!E5,'数据-取费表'!B5),0)</f>
        <v>176.29</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35258</v>
      </c>
      <c r="D19" s="1104">
        <f>IF(B1="仅计算典型户型",'数据-取费表'!E5,'数据-取费表'!B5)</f>
        <v>176.29</v>
      </c>
      <c r="E19" s="111">
        <f>'数据-取费表'!E15</f>
        <v>200</v>
      </c>
      <c r="F19" s="112"/>
      <c r="G19" s="1446"/>
    </row>
    <row r="20" spans="1:123" s="91" customFormat="1" ht="13.5" customHeight="1">
      <c r="A20" s="120" t="s">
        <v>1702</v>
      </c>
      <c r="B20" s="89" t="s">
        <v>1703</v>
      </c>
      <c r="C20" s="99">
        <f>ROUND((C5+C19)*F20,0)</f>
        <v>21315</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92299</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88380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3024</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895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163061</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163061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1454581</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772150</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705160</v>
      </c>
      <c r="D34" s="1096"/>
      <c r="E34" s="115"/>
      <c r="F34" s="1107" t="str">
        <f>IF('数据-取费表'!B26=0,"",'数据-取费表'!E20)</f>
        <v/>
      </c>
      <c r="G34" s="95"/>
    </row>
    <row r="35" spans="1:123" ht="13.5" customHeight="1">
      <c r="A35" s="92" t="s">
        <v>1685</v>
      </c>
      <c r="B35" s="93" t="s">
        <v>1734</v>
      </c>
      <c r="C35" s="115">
        <f>ROUND(C34*F35,0)</f>
        <v>21155</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35258</v>
      </c>
      <c r="D37" s="1096">
        <f>IF(B1="仅计算典型户型",'数据-取费表'!E5,'数据-取费表'!B5)</f>
        <v>176.29</v>
      </c>
      <c r="E37" s="115">
        <f>'数据-取费表'!E23</f>
        <v>200</v>
      </c>
      <c r="F37" s="1108"/>
      <c r="G37" s="124" t="s">
        <v>1739</v>
      </c>
    </row>
    <row r="38" spans="1:123" ht="13.5" customHeight="1">
      <c r="A38" s="92" t="s">
        <v>1740</v>
      </c>
      <c r="B38" s="93" t="s">
        <v>1741</v>
      </c>
      <c r="C38" s="115">
        <f>ROUND(C34*F38,0)</f>
        <v>10577</v>
      </c>
      <c r="D38" s="115"/>
      <c r="E38" s="115"/>
      <c r="F38" s="1108">
        <f>'数据-取费表'!E24</f>
        <v>1.4999999999999999E-2</v>
      </c>
      <c r="G38" s="95" t="s">
        <v>1735</v>
      </c>
    </row>
    <row r="39" spans="1:123" s="91" customFormat="1" ht="13.5" customHeight="1">
      <c r="A39" s="120" t="s">
        <v>1700</v>
      </c>
      <c r="B39" s="89" t="s">
        <v>1703</v>
      </c>
      <c r="C39" s="99">
        <f>ROUND(C33*F20,0)</f>
        <v>15443</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33079</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32430</v>
      </c>
      <c r="D42" s="104"/>
      <c r="E42" s="104"/>
      <c r="F42" s="105"/>
      <c r="G42" s="3562" t="s">
        <v>1745</v>
      </c>
    </row>
    <row r="43" spans="1:123" ht="13.5" customHeight="1">
      <c r="A43" s="92" t="s">
        <v>1685</v>
      </c>
      <c r="B43" s="93" t="s">
        <v>1714</v>
      </c>
      <c r="C43" s="104">
        <f ca="1">ROUND(IF('数据-取费表'!B24&lt;=1,C39*F22*'数据-取费表'!B23/2,C39*(POWER((1+F22),'数据-取费表'!B23/2)-1)),0)</f>
        <v>649</v>
      </c>
      <c r="D43" s="104"/>
      <c r="E43" s="104"/>
      <c r="F43" s="105"/>
      <c r="G43" s="3563"/>
    </row>
    <row r="44" spans="1:123" ht="13.5" customHeight="1">
      <c r="A44" s="92" t="s">
        <v>1687</v>
      </c>
      <c r="B44" s="93" t="s">
        <v>1716</v>
      </c>
      <c r="C44" s="104">
        <f ca="1">ROUND(IF('数据-取费表'!B24&lt;=1,C40*F22*'数据-取费表'!B23/2,C40*(POWER((1+F22),'数据-取费表'!B23/2)-1)),4)</f>
        <v>8.0000000000000004E-4</v>
      </c>
      <c r="D44" s="104"/>
      <c r="E44" s="104"/>
      <c r="F44" s="105"/>
      <c r="G44" s="3564"/>
    </row>
    <row r="45" spans="1:123" s="91" customFormat="1" ht="13.5" customHeight="1">
      <c r="A45" s="120" t="s">
        <v>1709</v>
      </c>
      <c r="B45" s="110" t="s">
        <v>1721</v>
      </c>
      <c r="C45" s="111">
        <f>C46</f>
        <v>118139</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118139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1017240</v>
      </c>
      <c r="D49" s="99"/>
      <c r="E49" s="99"/>
      <c r="F49" s="126"/>
      <c r="G49" s="100" t="s">
        <v>1753</v>
      </c>
    </row>
    <row r="50" spans="1:123" s="122" customFormat="1" ht="24">
      <c r="A50" s="952" t="s">
        <v>1754</v>
      </c>
      <c r="B50" s="89" t="s">
        <v>1755</v>
      </c>
      <c r="C50" s="99"/>
      <c r="D50" s="99"/>
      <c r="E50" s="99"/>
      <c r="F50" s="126">
        <f>IF('数据-取费表'!B26=0,'数据-取费表'!E20,1)</f>
        <v>0.74</v>
      </c>
      <c r="G50" s="113" t="s">
        <v>1756</v>
      </c>
    </row>
    <row r="51" spans="1:123" ht="16.5" customHeight="1">
      <c r="A51" s="952" t="s">
        <v>1757</v>
      </c>
      <c r="B51" s="89" t="s">
        <v>1758</v>
      </c>
      <c r="C51" s="99">
        <f ca="1">ROUND(C49*F50,0)</f>
        <v>752758</v>
      </c>
      <c r="D51" s="99"/>
      <c r="E51" s="99"/>
      <c r="F51" s="126"/>
      <c r="G51" s="100" t="s">
        <v>1759</v>
      </c>
    </row>
    <row r="52" spans="1:123" s="88" customFormat="1" ht="16.5" thickBot="1">
      <c r="A52" s="127" t="s">
        <v>1760</v>
      </c>
      <c r="B52" s="128"/>
      <c r="C52" s="129">
        <f ca="1">C31+C51</f>
        <v>2207339</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0.34100000000000003</v>
      </c>
    </row>
    <row r="57" spans="1:123">
      <c r="B57" s="135" t="s">
        <v>1763</v>
      </c>
      <c r="C57" s="137">
        <f ca="1">1-C56</f>
        <v>0.65900000000000003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C1" sqref="C1"/>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2143</v>
      </c>
      <c r="C1" s="1567" t="s">
        <v>2505</v>
      </c>
      <c r="D1" s="1566"/>
      <c r="E1" s="1569" t="s">
        <v>2503</v>
      </c>
      <c r="F1" s="1570" t="s">
        <v>2003</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558</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31646</v>
      </c>
      <c r="C3" s="1588" t="s">
        <v>2004</v>
      </c>
      <c r="D3" s="1588">
        <f>IF(C1="仅计算典型户型",'数据-取费表'!E5,'数据-取费表'!B5)</f>
        <v>176.29</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2005</v>
      </c>
      <c r="B4" s="1592"/>
      <c r="C4" s="3577" t="s">
        <v>2006</v>
      </c>
      <c r="D4" s="3578"/>
      <c r="E4" s="3579" t="s">
        <v>2007</v>
      </c>
      <c r="F4" s="3580"/>
      <c r="G4" s="3577" t="s">
        <v>2008</v>
      </c>
      <c r="H4" s="3578"/>
      <c r="I4" s="3577" t="s">
        <v>2009</v>
      </c>
      <c r="J4" s="3578"/>
      <c r="K4" s="1894" t="s">
        <v>2010</v>
      </c>
      <c r="L4" s="2915"/>
      <c r="M4" s="2916"/>
      <c r="N4" s="2916"/>
      <c r="O4" s="2916"/>
      <c r="P4" s="3581" t="s">
        <v>2011</v>
      </c>
      <c r="Q4" s="3582"/>
      <c r="R4" s="3587" t="s">
        <v>2007</v>
      </c>
      <c r="S4" s="3588"/>
      <c r="T4" s="3587" t="s">
        <v>2008</v>
      </c>
      <c r="U4" s="3588"/>
      <c r="V4" s="3593" t="s">
        <v>2009</v>
      </c>
      <c r="W4" s="3593"/>
      <c r="X4" s="2003"/>
      <c r="Y4" s="3587" t="s">
        <v>2011</v>
      </c>
      <c r="Z4" s="3588"/>
      <c r="AA4" s="3574" t="s">
        <v>2007</v>
      </c>
      <c r="AB4" s="3574" t="s">
        <v>2008</v>
      </c>
      <c r="AC4" s="3574" t="s">
        <v>2009</v>
      </c>
    </row>
    <row r="5" spans="1:29" ht="15">
      <c r="A5" s="1596"/>
      <c r="B5" s="1597"/>
      <c r="C5" s="3570" t="s">
        <v>2012</v>
      </c>
      <c r="D5" s="3571"/>
      <c r="E5" s="3594" t="str">
        <f>Sheet2!C148</f>
        <v>金码大厦</v>
      </c>
      <c r="F5" s="3595"/>
      <c r="G5" s="3570" t="str">
        <f>Sheet2!C146</f>
        <v>科技财富中心</v>
      </c>
      <c r="H5" s="3571"/>
      <c r="I5" s="3570" t="str">
        <f>Sheet2!C149</f>
        <v>金码大厦</v>
      </c>
      <c r="J5" s="3571"/>
      <c r="K5" s="1894"/>
      <c r="L5" s="2915"/>
      <c r="M5" s="2916"/>
      <c r="N5" s="2916"/>
      <c r="O5" s="2916"/>
      <c r="P5" s="3583"/>
      <c r="Q5" s="3584"/>
      <c r="R5" s="3589"/>
      <c r="S5" s="3590"/>
      <c r="T5" s="3589"/>
      <c r="U5" s="3590"/>
      <c r="V5" s="3593"/>
      <c r="W5" s="3593"/>
      <c r="X5" s="2003"/>
      <c r="Y5" s="3589"/>
      <c r="Z5" s="3590"/>
      <c r="AA5" s="3575"/>
      <c r="AB5" s="3575"/>
      <c r="AC5" s="3575"/>
    </row>
    <row r="6" spans="1:29" ht="15.75" thickBot="1">
      <c r="A6" s="1599"/>
      <c r="B6" s="1600"/>
      <c r="C6" s="3567" t="s">
        <v>2016</v>
      </c>
      <c r="D6" s="3568"/>
      <c r="E6" s="3565" t="s">
        <v>2016</v>
      </c>
      <c r="F6" s="3566"/>
      <c r="G6" s="3567" t="s">
        <v>2016</v>
      </c>
      <c r="H6" s="3568"/>
      <c r="I6" s="3567" t="s">
        <v>2016</v>
      </c>
      <c r="J6" s="3568"/>
      <c r="K6" s="1894" t="s">
        <v>2017</v>
      </c>
      <c r="L6" s="2915"/>
      <c r="M6" s="2916"/>
      <c r="N6" s="2916"/>
      <c r="O6" s="2916"/>
      <c r="P6" s="3585"/>
      <c r="Q6" s="3586"/>
      <c r="R6" s="3589"/>
      <c r="S6" s="3590"/>
      <c r="T6" s="3591"/>
      <c r="U6" s="3592"/>
      <c r="V6" s="3593"/>
      <c r="W6" s="3593"/>
      <c r="X6" s="2003"/>
      <c r="Y6" s="3591"/>
      <c r="Z6" s="3592"/>
      <c r="AA6" s="3576"/>
      <c r="AB6" s="3576"/>
      <c r="AC6" s="3576"/>
    </row>
    <row r="7" spans="1:29" s="1613" customFormat="1" ht="15.75" thickBot="1">
      <c r="A7" s="1601" t="s">
        <v>2018</v>
      </c>
      <c r="B7" s="1602"/>
      <c r="C7" s="1603">
        <f>'数据-取费表'!B2</f>
        <v>44676</v>
      </c>
      <c r="D7" s="1604">
        <v>100</v>
      </c>
      <c r="E7" s="1605">
        <f>C7</f>
        <v>44676</v>
      </c>
      <c r="F7" s="1606">
        <f>SUMIF(59:59,YEAR(E7)&amp;"-"&amp;MONTH(E7),60:60)</f>
        <v>100</v>
      </c>
      <c r="G7" s="1895">
        <f>C7</f>
        <v>44676</v>
      </c>
      <c r="H7" s="1604">
        <f>SUMIF(59:59,YEAR(G7)&amp;"-"&amp;MONTH(G7),60:60)</f>
        <v>100</v>
      </c>
      <c r="I7" s="1895">
        <f>C7</f>
        <v>44676</v>
      </c>
      <c r="J7" s="1604">
        <f>SUMIF(59:59,YEAR(I7)&amp;"-"&amp;MONTH(I7),60:60)</f>
        <v>100</v>
      </c>
      <c r="K7" s="1896"/>
      <c r="L7" s="2915"/>
      <c r="M7" s="2888"/>
      <c r="N7" s="2888"/>
      <c r="O7" s="2888"/>
      <c r="P7" s="3572" t="s">
        <v>2019</v>
      </c>
      <c r="Q7" s="3596"/>
      <c r="R7" s="1609" t="s">
        <v>25</v>
      </c>
      <c r="S7" s="1610">
        <f t="shared" ref="S7:S15" si="0">F7</f>
        <v>100</v>
      </c>
      <c r="T7" s="1609" t="s">
        <v>25</v>
      </c>
      <c r="U7" s="1610">
        <f t="shared" ref="U7:U15" si="1">H7</f>
        <v>100</v>
      </c>
      <c r="V7" s="1609" t="s">
        <v>25</v>
      </c>
      <c r="W7" s="1610">
        <f t="shared" ref="W7:W15" si="2">J7</f>
        <v>100</v>
      </c>
      <c r="X7" s="1611"/>
      <c r="Y7" s="3572" t="s">
        <v>2019</v>
      </c>
      <c r="Z7" s="3573"/>
      <c r="AA7" s="1612">
        <f>D7/F7</f>
        <v>1</v>
      </c>
      <c r="AB7" s="1612">
        <f>D7/H7</f>
        <v>1</v>
      </c>
      <c r="AC7" s="1612">
        <f>D7/J7</f>
        <v>1</v>
      </c>
    </row>
    <row r="8" spans="1:29" s="1613" customFormat="1" ht="15.75" thickBot="1">
      <c r="A8" s="1601" t="s">
        <v>2020</v>
      </c>
      <c r="B8" s="1602"/>
      <c r="C8" s="1614" t="s">
        <v>2021</v>
      </c>
      <c r="D8" s="1604">
        <v>100</v>
      </c>
      <c r="E8" s="3325" t="s">
        <v>3054</v>
      </c>
      <c r="F8" s="1606">
        <f>SUMIF(62:62,E8,63:63)-SUMIF(62:62,C8,63:63)+100</f>
        <v>100</v>
      </c>
      <c r="G8" s="3325" t="s">
        <v>3054</v>
      </c>
      <c r="H8" s="1604">
        <f>SUMIF(62:62,G8,63:63)-SUMIF(62:62,C8,63:63)+100</f>
        <v>100</v>
      </c>
      <c r="I8" s="3325" t="s">
        <v>3054</v>
      </c>
      <c r="J8" s="1604">
        <f>SUMIF(62:62,I8,63:63)-SUMIF(62:62,C8,63:63)+100</f>
        <v>100</v>
      </c>
      <c r="K8" s="1896"/>
      <c r="L8" s="2915"/>
      <c r="M8" s="2888"/>
      <c r="N8" s="2888"/>
      <c r="O8" s="2888"/>
      <c r="P8" s="3572" t="s">
        <v>2022</v>
      </c>
      <c r="Q8" s="3573"/>
      <c r="R8" s="1609" t="s">
        <v>25</v>
      </c>
      <c r="S8" s="1610">
        <f t="shared" si="0"/>
        <v>100</v>
      </c>
      <c r="T8" s="1609" t="s">
        <v>25</v>
      </c>
      <c r="U8" s="1610">
        <f t="shared" si="1"/>
        <v>100</v>
      </c>
      <c r="V8" s="1609" t="s">
        <v>25</v>
      </c>
      <c r="W8" s="1610">
        <f t="shared" si="2"/>
        <v>100</v>
      </c>
      <c r="X8" s="1611"/>
      <c r="Y8" s="3572" t="s">
        <v>2022</v>
      </c>
      <c r="Z8" s="3573"/>
      <c r="AA8" s="1612">
        <f t="shared" ref="AA8:AA47" si="3">D8/F8</f>
        <v>1</v>
      </c>
      <c r="AB8" s="1612">
        <f t="shared" ref="AB8:AB47" si="4">D8/H8</f>
        <v>1</v>
      </c>
      <c r="AC8" s="1612">
        <f t="shared" ref="AC8:AC47" si="5">D8/J8</f>
        <v>1</v>
      </c>
    </row>
    <row r="9" spans="1:29" s="1613" customFormat="1">
      <c r="A9" s="1995" t="s">
        <v>2023</v>
      </c>
      <c r="B9" s="1616" t="s">
        <v>2024</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69" t="s">
        <v>2025</v>
      </c>
      <c r="Q9" s="2833" t="str">
        <f t="shared" ref="Q9:Q15" si="6">B9</f>
        <v>用途</v>
      </c>
      <c r="R9" s="1609" t="s">
        <v>25</v>
      </c>
      <c r="S9" s="1610">
        <f t="shared" si="0"/>
        <v>100</v>
      </c>
      <c r="T9" s="1609" t="s">
        <v>25</v>
      </c>
      <c r="U9" s="1610">
        <f t="shared" si="1"/>
        <v>100</v>
      </c>
      <c r="V9" s="1609" t="s">
        <v>25</v>
      </c>
      <c r="W9" s="1610">
        <f t="shared" si="2"/>
        <v>100</v>
      </c>
      <c r="X9" s="1611"/>
      <c r="Y9" s="3495"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69"/>
      <c r="Q10" s="2833" t="str">
        <f t="shared" si="6"/>
        <v>土地使用年限（年）</v>
      </c>
      <c r="R10" s="1609" t="s">
        <v>25</v>
      </c>
      <c r="S10" s="1610">
        <f t="shared" si="0"/>
        <v>100</v>
      </c>
      <c r="T10" s="1609" t="s">
        <v>25</v>
      </c>
      <c r="U10" s="1610">
        <f t="shared" si="1"/>
        <v>100</v>
      </c>
      <c r="V10" s="1609" t="s">
        <v>25</v>
      </c>
      <c r="W10" s="1610">
        <f t="shared" si="2"/>
        <v>100</v>
      </c>
      <c r="X10" s="1611"/>
      <c r="Y10" s="3495"/>
      <c r="Z10" s="1622" t="str">
        <f t="shared" si="7"/>
        <v>土地使用年限（年）</v>
      </c>
      <c r="AA10" s="1612">
        <f t="shared" si="3"/>
        <v>1</v>
      </c>
      <c r="AB10" s="1612">
        <f t="shared" si="4"/>
        <v>1</v>
      </c>
      <c r="AC10" s="1612">
        <f t="shared" si="5"/>
        <v>1</v>
      </c>
    </row>
    <row r="11" spans="1:29" ht="15">
      <c r="A11" s="1631"/>
      <c r="B11" s="1624" t="s">
        <v>2028</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69"/>
      <c r="Q11" s="2833" t="str">
        <f t="shared" si="6"/>
        <v>容积率</v>
      </c>
      <c r="R11" s="1609" t="s">
        <v>25</v>
      </c>
      <c r="S11" s="1610">
        <f t="shared" si="0"/>
        <v>100</v>
      </c>
      <c r="T11" s="1609" t="s">
        <v>25</v>
      </c>
      <c r="U11" s="1610">
        <f t="shared" si="1"/>
        <v>100</v>
      </c>
      <c r="V11" s="1609" t="s">
        <v>25</v>
      </c>
      <c r="W11" s="1610">
        <f t="shared" si="2"/>
        <v>100</v>
      </c>
      <c r="X11" s="1611"/>
      <c r="Y11" s="3495"/>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69"/>
      <c r="Q12" s="2833">
        <f t="shared" si="6"/>
        <v>111</v>
      </c>
      <c r="R12" s="1609" t="s">
        <v>25</v>
      </c>
      <c r="S12" s="1610">
        <f t="shared" si="0"/>
        <v>100</v>
      </c>
      <c r="T12" s="1609" t="s">
        <v>25</v>
      </c>
      <c r="U12" s="1610">
        <f t="shared" si="1"/>
        <v>100</v>
      </c>
      <c r="V12" s="1609" t="s">
        <v>25</v>
      </c>
      <c r="W12" s="1610">
        <f t="shared" si="2"/>
        <v>100</v>
      </c>
      <c r="X12" s="1611"/>
      <c r="Y12" s="3495"/>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69"/>
      <c r="Q13" s="2833">
        <f t="shared" si="6"/>
        <v>111</v>
      </c>
      <c r="R13" s="1609" t="s">
        <v>25</v>
      </c>
      <c r="S13" s="1610">
        <f t="shared" si="0"/>
        <v>100</v>
      </c>
      <c r="T13" s="1609" t="s">
        <v>25</v>
      </c>
      <c r="U13" s="1610">
        <f t="shared" si="1"/>
        <v>100</v>
      </c>
      <c r="V13" s="1609" t="s">
        <v>25</v>
      </c>
      <c r="W13" s="1610">
        <f t="shared" si="2"/>
        <v>100</v>
      </c>
      <c r="X13" s="1611"/>
      <c r="Y13" s="3495"/>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69"/>
      <c r="Q14" s="2833">
        <f t="shared" si="6"/>
        <v>111</v>
      </c>
      <c r="R14" s="1609" t="s">
        <v>25</v>
      </c>
      <c r="S14" s="1610">
        <f t="shared" si="0"/>
        <v>100</v>
      </c>
      <c r="T14" s="1609" t="s">
        <v>25</v>
      </c>
      <c r="U14" s="1610">
        <f t="shared" si="1"/>
        <v>100</v>
      </c>
      <c r="V14" s="1609" t="s">
        <v>25</v>
      </c>
      <c r="W14" s="1610">
        <f t="shared" si="2"/>
        <v>100</v>
      </c>
      <c r="X14" s="1611"/>
      <c r="Y14" s="3495"/>
      <c r="Z14" s="1622">
        <f t="shared" si="7"/>
        <v>111</v>
      </c>
      <c r="AA14" s="1612">
        <f t="shared" si="3"/>
        <v>1</v>
      </c>
      <c r="AB14" s="1612">
        <f t="shared" si="4"/>
        <v>1</v>
      </c>
      <c r="AC14" s="1612">
        <f t="shared" si="5"/>
        <v>1</v>
      </c>
    </row>
    <row r="15" spans="1:29" ht="71.25">
      <c r="A15" s="1646" t="s">
        <v>2029</v>
      </c>
      <c r="B15" s="2411" t="s">
        <v>2144</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7" t="s">
        <v>2030</v>
      </c>
      <c r="Q15" s="2834" t="str">
        <f t="shared" si="6"/>
        <v>办公集聚程度</v>
      </c>
      <c r="R15" s="1654" t="s">
        <v>25</v>
      </c>
      <c r="S15" s="1655">
        <f t="shared" si="0"/>
        <v>100</v>
      </c>
      <c r="T15" s="1654" t="s">
        <v>25</v>
      </c>
      <c r="U15" s="1655">
        <f t="shared" si="1"/>
        <v>100</v>
      </c>
      <c r="V15" s="1654" t="s">
        <v>25</v>
      </c>
      <c r="W15" s="1655">
        <f t="shared" si="2"/>
        <v>100</v>
      </c>
      <c r="X15" s="2003"/>
      <c r="Y15" s="3597" t="s">
        <v>2030</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8"/>
      <c r="Q16" s="2834"/>
      <c r="R16" s="1654"/>
      <c r="S16" s="1655"/>
      <c r="T16" s="1654"/>
      <c r="U16" s="1655"/>
      <c r="V16" s="1654"/>
      <c r="W16" s="1655"/>
      <c r="X16" s="2003"/>
      <c r="Y16" s="3598"/>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102</v>
      </c>
      <c r="G17" s="1668"/>
      <c r="H17" s="1671">
        <f>SUMIF(79:79,G18,80:80)-SUMIF(79:79,C18,80:80)+100</f>
        <v>100</v>
      </c>
      <c r="I17" s="1668"/>
      <c r="J17" s="1671">
        <f>SUMIF(79:79,I18,80:80)-SUMIF(79:79,C18,80:80)+100</f>
        <v>102</v>
      </c>
      <c r="K17" s="2391">
        <v>2</v>
      </c>
      <c r="L17" s="2920"/>
      <c r="M17" s="2916"/>
      <c r="N17" s="2916"/>
      <c r="O17" s="2916"/>
      <c r="P17" s="3598"/>
      <c r="Q17" s="2834" t="str">
        <f>B17</f>
        <v>交通便捷度</v>
      </c>
      <c r="R17" s="1654" t="s">
        <v>25</v>
      </c>
      <c r="S17" s="1655">
        <f>F17</f>
        <v>102</v>
      </c>
      <c r="T17" s="1654" t="s">
        <v>25</v>
      </c>
      <c r="U17" s="1655">
        <f>H17</f>
        <v>100</v>
      </c>
      <c r="V17" s="1654" t="s">
        <v>25</v>
      </c>
      <c r="W17" s="1655">
        <f>J17</f>
        <v>102</v>
      </c>
      <c r="X17" s="2003"/>
      <c r="Y17" s="3598"/>
      <c r="Z17" s="2007" t="str">
        <f>Q17</f>
        <v>交通便捷度</v>
      </c>
      <c r="AA17" s="1998">
        <f t="shared" si="3"/>
        <v>0.98039215686274506</v>
      </c>
      <c r="AB17" s="1998">
        <f t="shared" si="4"/>
        <v>1</v>
      </c>
      <c r="AC17" s="1998">
        <f t="shared" si="5"/>
        <v>0.98039215686274506</v>
      </c>
    </row>
    <row r="18" spans="1:29" ht="15">
      <c r="A18" s="1631"/>
      <c r="B18" s="2414"/>
      <c r="C18" s="3330" t="s">
        <v>3062</v>
      </c>
      <c r="D18" s="1664"/>
      <c r="E18" s="3331" t="s">
        <v>3063</v>
      </c>
      <c r="F18" s="1664"/>
      <c r="G18" s="3332" t="s">
        <v>3064</v>
      </c>
      <c r="H18" s="1660"/>
      <c r="I18" s="3332" t="s">
        <v>3063</v>
      </c>
      <c r="J18" s="1660"/>
      <c r="K18" s="2392"/>
      <c r="L18" s="2920"/>
      <c r="M18" s="2916"/>
      <c r="N18" s="2916"/>
      <c r="O18" s="2916"/>
      <c r="P18" s="3598"/>
      <c r="Q18" s="2834"/>
      <c r="R18" s="1654"/>
      <c r="S18" s="1655"/>
      <c r="T18" s="1654"/>
      <c r="U18" s="1655"/>
      <c r="V18" s="1654"/>
      <c r="W18" s="1655"/>
      <c r="X18" s="2003"/>
      <c r="Y18" s="3598"/>
      <c r="Z18" s="2007"/>
      <c r="AA18" s="1998">
        <v>1</v>
      </c>
      <c r="AB18" s="1998">
        <v>1</v>
      </c>
      <c r="AC18" s="1998">
        <v>1</v>
      </c>
    </row>
    <row r="19" spans="1:29" ht="42.75">
      <c r="A19" s="1631"/>
      <c r="B19" s="2413" t="s">
        <v>2145</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8"/>
      <c r="Q19" s="2834" t="str">
        <f>B19</f>
        <v>公共配套设施</v>
      </c>
      <c r="R19" s="1654" t="s">
        <v>25</v>
      </c>
      <c r="S19" s="1655">
        <f>F19</f>
        <v>100</v>
      </c>
      <c r="T19" s="1654" t="s">
        <v>25</v>
      </c>
      <c r="U19" s="1655">
        <f>H19</f>
        <v>100</v>
      </c>
      <c r="V19" s="1654" t="s">
        <v>25</v>
      </c>
      <c r="W19" s="1655">
        <f>J19</f>
        <v>100</v>
      </c>
      <c r="X19" s="2003"/>
      <c r="Y19" s="3598"/>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8"/>
      <c r="Q20" s="2834"/>
      <c r="R20" s="1654"/>
      <c r="S20" s="1655"/>
      <c r="T20" s="1654"/>
      <c r="U20" s="1655"/>
      <c r="V20" s="1654"/>
      <c r="W20" s="1655"/>
      <c r="X20" s="2003"/>
      <c r="Y20" s="3598"/>
      <c r="Z20" s="2007"/>
      <c r="AA20" s="1998">
        <v>1</v>
      </c>
      <c r="AB20" s="1998">
        <v>1</v>
      </c>
      <c r="AC20" s="1998">
        <v>1</v>
      </c>
    </row>
    <row r="21" spans="1:29" ht="28.5">
      <c r="A21" s="1631"/>
      <c r="B21" s="2415" t="s">
        <v>2146</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8"/>
      <c r="Q21" s="2834" t="str">
        <f>B21</f>
        <v>基础设施水平</v>
      </c>
      <c r="R21" s="1654" t="s">
        <v>25</v>
      </c>
      <c r="S21" s="1655">
        <f>F21</f>
        <v>100</v>
      </c>
      <c r="T21" s="1654" t="s">
        <v>25</v>
      </c>
      <c r="U21" s="1655">
        <f>H21</f>
        <v>100</v>
      </c>
      <c r="V21" s="1654" t="s">
        <v>25</v>
      </c>
      <c r="W21" s="1655">
        <f>J21</f>
        <v>100</v>
      </c>
      <c r="X21" s="2003"/>
      <c r="Y21" s="3598"/>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8"/>
      <c r="Q22" s="2834"/>
      <c r="R22" s="1654"/>
      <c r="S22" s="1655"/>
      <c r="T22" s="1654"/>
      <c r="U22" s="1655"/>
      <c r="V22" s="1654"/>
      <c r="W22" s="1655"/>
      <c r="X22" s="2003"/>
      <c r="Y22" s="3598"/>
      <c r="Z22" s="2007"/>
      <c r="AA22" s="1998">
        <v>1</v>
      </c>
      <c r="AB22" s="1998">
        <v>1</v>
      </c>
      <c r="AC22" s="1998">
        <v>1</v>
      </c>
    </row>
    <row r="23" spans="1:29" ht="57">
      <c r="A23" s="1631"/>
      <c r="B23" s="2413" t="s">
        <v>2147</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8"/>
      <c r="Q23" s="2834" t="str">
        <f>B23</f>
        <v>环境质量</v>
      </c>
      <c r="R23" s="1654" t="s">
        <v>25</v>
      </c>
      <c r="S23" s="1655">
        <f>F23</f>
        <v>100</v>
      </c>
      <c r="T23" s="1654" t="s">
        <v>25</v>
      </c>
      <c r="U23" s="1655">
        <f>H23</f>
        <v>100</v>
      </c>
      <c r="V23" s="1654" t="s">
        <v>25</v>
      </c>
      <c r="W23" s="1655">
        <f>J23</f>
        <v>100</v>
      </c>
      <c r="X23" s="2003"/>
      <c r="Y23" s="3598"/>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8"/>
      <c r="Q24" s="2834"/>
      <c r="R24" s="1654"/>
      <c r="S24" s="1655"/>
      <c r="T24" s="1654"/>
      <c r="U24" s="1655"/>
      <c r="V24" s="1654"/>
      <c r="W24" s="1655"/>
      <c r="X24" s="2003"/>
      <c r="Y24" s="3598"/>
      <c r="Z24" s="2007"/>
      <c r="AA24" s="1998">
        <v>1</v>
      </c>
      <c r="AB24" s="1998">
        <v>1</v>
      </c>
      <c r="AC24" s="1998">
        <v>1</v>
      </c>
    </row>
    <row r="25" spans="1:29" ht="27">
      <c r="A25" s="1596"/>
      <c r="B25" s="2413" t="s">
        <v>2148</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8"/>
      <c r="Q25" s="2834" t="str">
        <f>B25</f>
        <v>毗邻道路的类型与等级</v>
      </c>
      <c r="R25" s="1654" t="s">
        <v>25</v>
      </c>
      <c r="S25" s="1655">
        <f>F25</f>
        <v>100</v>
      </c>
      <c r="T25" s="1654" t="s">
        <v>25</v>
      </c>
      <c r="U25" s="1655">
        <f>H25</f>
        <v>100</v>
      </c>
      <c r="V25" s="1654" t="s">
        <v>25</v>
      </c>
      <c r="W25" s="1655">
        <f>J25</f>
        <v>100</v>
      </c>
      <c r="X25" s="2003"/>
      <c r="Y25" s="3598"/>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8"/>
      <c r="Q26" s="2834"/>
      <c r="R26" s="1654"/>
      <c r="S26" s="1655"/>
      <c r="T26" s="1654"/>
      <c r="U26" s="1655"/>
      <c r="V26" s="1654"/>
      <c r="W26" s="1655"/>
      <c r="X26" s="2003"/>
      <c r="Y26" s="3598"/>
      <c r="Z26" s="2007"/>
      <c r="AA26" s="1998">
        <v>1</v>
      </c>
      <c r="AB26" s="1998">
        <v>1</v>
      </c>
      <c r="AC26" s="1998">
        <v>1</v>
      </c>
    </row>
    <row r="27" spans="1:29" ht="15">
      <c r="A27" s="1631"/>
      <c r="B27" s="2414" t="s">
        <v>2121</v>
      </c>
      <c r="C27" s="3327" t="s">
        <v>3055</v>
      </c>
      <c r="D27" s="1640">
        <v>100</v>
      </c>
      <c r="E27" s="1920" t="str">
        <f>Sheet2!E145</f>
        <v>低区</v>
      </c>
      <c r="F27" s="1640">
        <f>SUMIF(89:89,E27,90:90)-SUMIF(89:89,C27,90:90)+100</f>
        <v>95</v>
      </c>
      <c r="G27" s="1912" t="str">
        <f>Sheet2!E146</f>
        <v>中区</v>
      </c>
      <c r="H27" s="1640">
        <f>SUMIF(89:89,G27,90:90)-SUMIF(89:89,C27,90:90)+100</f>
        <v>100</v>
      </c>
      <c r="I27" s="1920" t="str">
        <f>Sheet2!E147</f>
        <v>高区</v>
      </c>
      <c r="J27" s="1640">
        <f>SUMIF(89:89,I27,90:90)-SUMIF(89:89,C27,90:90)+100</f>
        <v>105</v>
      </c>
      <c r="K27" s="1921">
        <v>5</v>
      </c>
      <c r="L27" s="2920"/>
      <c r="M27" s="2916"/>
      <c r="N27" s="2916"/>
      <c r="O27" s="2916"/>
      <c r="P27" s="3598"/>
      <c r="Q27" s="2834" t="str">
        <f t="shared" ref="Q27:Q47" si="11">B27</f>
        <v>楼层</v>
      </c>
      <c r="R27" s="1654" t="s">
        <v>25</v>
      </c>
      <c r="S27" s="1655">
        <f>F27</f>
        <v>95</v>
      </c>
      <c r="T27" s="1654" t="s">
        <v>25</v>
      </c>
      <c r="U27" s="1655">
        <f>H27</f>
        <v>100</v>
      </c>
      <c r="V27" s="1654" t="s">
        <v>25</v>
      </c>
      <c r="W27" s="1655">
        <f>J27</f>
        <v>105</v>
      </c>
      <c r="X27" s="2003"/>
      <c r="Y27" s="3598"/>
      <c r="Z27" s="2007" t="str">
        <f>Q27</f>
        <v>楼层</v>
      </c>
      <c r="AA27" s="1998">
        <f t="shared" si="3"/>
        <v>1.0526315789473684</v>
      </c>
      <c r="AB27" s="1998">
        <f t="shared" si="4"/>
        <v>1</v>
      </c>
      <c r="AC27" s="1998">
        <f t="shared" si="5"/>
        <v>0.95238095238095233</v>
      </c>
    </row>
    <row r="28" spans="1:29" s="1613" customFormat="1" ht="15">
      <c r="A28" s="1634"/>
      <c r="B28" s="2413" t="s">
        <v>2149</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8"/>
      <c r="Q28" s="2833" t="str">
        <f t="shared" si="11"/>
        <v>朝向</v>
      </c>
      <c r="R28" s="1609" t="s">
        <v>25</v>
      </c>
      <c r="S28" s="1610">
        <f>F28</f>
        <v>100</v>
      </c>
      <c r="T28" s="1609" t="s">
        <v>25</v>
      </c>
      <c r="U28" s="1610">
        <f>H28</f>
        <v>100</v>
      </c>
      <c r="V28" s="1609" t="s">
        <v>25</v>
      </c>
      <c r="W28" s="1610">
        <f>J28</f>
        <v>100</v>
      </c>
      <c r="X28" s="1611"/>
      <c r="Y28" s="3598"/>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8"/>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8"/>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8"/>
      <c r="Q30" s="2834">
        <f t="shared" si="11"/>
        <v>111</v>
      </c>
      <c r="R30" s="1654" t="s">
        <v>25</v>
      </c>
      <c r="S30" s="1655">
        <f t="shared" si="12"/>
        <v>100</v>
      </c>
      <c r="T30" s="1654" t="s">
        <v>25</v>
      </c>
      <c r="U30" s="1655">
        <f t="shared" si="13"/>
        <v>100</v>
      </c>
      <c r="V30" s="1654" t="s">
        <v>25</v>
      </c>
      <c r="W30" s="1655">
        <f t="shared" si="14"/>
        <v>100</v>
      </c>
      <c r="X30" s="2003"/>
      <c r="Y30" s="3598"/>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8"/>
      <c r="Q31" s="2834">
        <f t="shared" si="11"/>
        <v>111</v>
      </c>
      <c r="R31" s="1654" t="s">
        <v>25</v>
      </c>
      <c r="S31" s="1655">
        <f t="shared" si="12"/>
        <v>100</v>
      </c>
      <c r="T31" s="1654" t="s">
        <v>25</v>
      </c>
      <c r="U31" s="1655">
        <f t="shared" si="13"/>
        <v>100</v>
      </c>
      <c r="V31" s="1654" t="s">
        <v>25</v>
      </c>
      <c r="W31" s="1655">
        <f t="shared" si="14"/>
        <v>100</v>
      </c>
      <c r="X31" s="2003"/>
      <c r="Y31" s="3598"/>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8"/>
      <c r="Q32" s="2834">
        <f t="shared" si="11"/>
        <v>111</v>
      </c>
      <c r="R32" s="1654" t="s">
        <v>25</v>
      </c>
      <c r="S32" s="1655">
        <f t="shared" si="12"/>
        <v>100</v>
      </c>
      <c r="T32" s="1654" t="s">
        <v>25</v>
      </c>
      <c r="U32" s="1655">
        <f t="shared" si="13"/>
        <v>100</v>
      </c>
      <c r="V32" s="1654" t="s">
        <v>25</v>
      </c>
      <c r="W32" s="1655">
        <f t="shared" si="14"/>
        <v>100</v>
      </c>
      <c r="X32" s="2003"/>
      <c r="Y32" s="3598"/>
      <c r="Z32" s="2007">
        <f t="shared" si="15"/>
        <v>111</v>
      </c>
      <c r="AA32" s="1998">
        <f t="shared" si="3"/>
        <v>1</v>
      </c>
      <c r="AB32" s="1998">
        <f t="shared" si="4"/>
        <v>1</v>
      </c>
      <c r="AC32" s="1998">
        <f t="shared" si="5"/>
        <v>1</v>
      </c>
    </row>
    <row r="33" spans="1:29" ht="15">
      <c r="A33" s="1646" t="s">
        <v>2034</v>
      </c>
      <c r="B33" s="1616" t="s">
        <v>2150</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599" t="s">
        <v>2036</v>
      </c>
      <c r="Q33" s="2834" t="str">
        <f t="shared" si="11"/>
        <v>建筑类型</v>
      </c>
      <c r="R33" s="1654" t="s">
        <v>25</v>
      </c>
      <c r="S33" s="1655">
        <f t="shared" si="12"/>
        <v>100</v>
      </c>
      <c r="T33" s="1654" t="s">
        <v>25</v>
      </c>
      <c r="U33" s="1655">
        <f t="shared" si="13"/>
        <v>100</v>
      </c>
      <c r="V33" s="1654" t="s">
        <v>25</v>
      </c>
      <c r="W33" s="1655">
        <f t="shared" si="14"/>
        <v>100</v>
      </c>
      <c r="X33" s="2003"/>
      <c r="Y33" s="3600" t="s">
        <v>2036</v>
      </c>
      <c r="Z33" s="2007" t="str">
        <f t="shared" si="15"/>
        <v>建筑类型</v>
      </c>
      <c r="AA33" s="1998">
        <f t="shared" si="3"/>
        <v>1</v>
      </c>
      <c r="AB33" s="1998">
        <f t="shared" si="4"/>
        <v>1</v>
      </c>
      <c r="AC33" s="1998">
        <f t="shared" si="5"/>
        <v>1</v>
      </c>
    </row>
    <row r="34" spans="1:29" s="1700" customFormat="1" ht="15">
      <c r="A34" s="1693"/>
      <c r="B34" s="1624" t="s">
        <v>2037</v>
      </c>
      <c r="C34" s="1694">
        <f>D3</f>
        <v>176.29</v>
      </c>
      <c r="D34" s="1626">
        <v>100</v>
      </c>
      <c r="E34" s="1633">
        <f>Sheet2!D148</f>
        <v>400</v>
      </c>
      <c r="F34" s="1628">
        <f>LOOKUP(E34,104:104,105:105)-LOOKUP(C34,104:104,105:105)+100</f>
        <v>102</v>
      </c>
      <c r="G34" s="1632">
        <f>Sheet2!D146</f>
        <v>1786</v>
      </c>
      <c r="H34" s="1626">
        <f>LOOKUP(G34,104:104,105:105)-LOOKUP(C34,104:104,105:105)+100</f>
        <v>96</v>
      </c>
      <c r="I34" s="1632">
        <f>Sheet2!D149</f>
        <v>251</v>
      </c>
      <c r="J34" s="1626">
        <f>LOOKUP(I34,104:104,105:105)-LOOKUP(C34,104:104,105:105)+100</f>
        <v>102</v>
      </c>
      <c r="K34" s="1918"/>
      <c r="L34" s="2919"/>
      <c r="M34" s="1988"/>
      <c r="N34" s="1988"/>
      <c r="O34" s="1988"/>
      <c r="P34" s="3600"/>
      <c r="Q34" s="1695" t="str">
        <f t="shared" si="11"/>
        <v>项目建筑规模</v>
      </c>
      <c r="R34" s="1696" t="s">
        <v>25</v>
      </c>
      <c r="S34" s="1697">
        <f t="shared" si="12"/>
        <v>102</v>
      </c>
      <c r="T34" s="1696" t="s">
        <v>25</v>
      </c>
      <c r="U34" s="1697">
        <f t="shared" si="13"/>
        <v>96</v>
      </c>
      <c r="V34" s="1696" t="s">
        <v>25</v>
      </c>
      <c r="W34" s="1697">
        <f t="shared" si="14"/>
        <v>102</v>
      </c>
      <c r="X34" s="1698"/>
      <c r="Y34" s="3600"/>
      <c r="Z34" s="1699" t="str">
        <f t="shared" si="15"/>
        <v>项目建筑规模</v>
      </c>
      <c r="AA34" s="1998">
        <f t="shared" si="3"/>
        <v>0.98039215686274506</v>
      </c>
      <c r="AB34" s="1998">
        <f t="shared" si="4"/>
        <v>1.0416666666666667</v>
      </c>
      <c r="AC34" s="1998">
        <f t="shared" si="5"/>
        <v>0.98039215686274506</v>
      </c>
    </row>
    <row r="35" spans="1:29" ht="15">
      <c r="A35" s="1701"/>
      <c r="B35" s="1624" t="s">
        <v>2038</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00"/>
      <c r="Q35" s="2834" t="str">
        <f t="shared" si="11"/>
        <v>建筑结构</v>
      </c>
      <c r="R35" s="1654" t="s">
        <v>25</v>
      </c>
      <c r="S35" s="1655">
        <f t="shared" si="12"/>
        <v>100</v>
      </c>
      <c r="T35" s="1654" t="s">
        <v>25</v>
      </c>
      <c r="U35" s="1655">
        <f t="shared" si="13"/>
        <v>100</v>
      </c>
      <c r="V35" s="1654" t="s">
        <v>25</v>
      </c>
      <c r="W35" s="1655">
        <f t="shared" si="14"/>
        <v>100</v>
      </c>
      <c r="X35" s="2003"/>
      <c r="Y35" s="3600"/>
      <c r="Z35" s="2007" t="str">
        <f t="shared" si="15"/>
        <v>建筑结构</v>
      </c>
      <c r="AA35" s="1998">
        <f t="shared" si="3"/>
        <v>1</v>
      </c>
      <c r="AB35" s="1998">
        <f t="shared" si="4"/>
        <v>1</v>
      </c>
      <c r="AC35" s="1998">
        <f t="shared" si="5"/>
        <v>1</v>
      </c>
    </row>
    <row r="36" spans="1:29" ht="15">
      <c r="A36" s="1701"/>
      <c r="B36" s="1624" t="s">
        <v>2123</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00"/>
      <c r="Q36" s="2834" t="str">
        <f t="shared" si="11"/>
        <v>公共部分装修</v>
      </c>
      <c r="R36" s="1654" t="s">
        <v>25</v>
      </c>
      <c r="S36" s="1655">
        <f t="shared" si="12"/>
        <v>100</v>
      </c>
      <c r="T36" s="1654" t="s">
        <v>25</v>
      </c>
      <c r="U36" s="1655">
        <f t="shared" si="13"/>
        <v>100</v>
      </c>
      <c r="V36" s="1654" t="s">
        <v>25</v>
      </c>
      <c r="W36" s="1655">
        <f t="shared" si="14"/>
        <v>100</v>
      </c>
      <c r="X36" s="2003"/>
      <c r="Y36" s="3600"/>
      <c r="Z36" s="2007" t="str">
        <f t="shared" si="15"/>
        <v>公共部分装修</v>
      </c>
      <c r="AA36" s="1998">
        <f t="shared" si="3"/>
        <v>1</v>
      </c>
      <c r="AB36" s="1998">
        <f t="shared" si="4"/>
        <v>1</v>
      </c>
      <c r="AC36" s="1998">
        <f t="shared" si="5"/>
        <v>1</v>
      </c>
    </row>
    <row r="37" spans="1:29" ht="15">
      <c r="A37" s="1701"/>
      <c r="B37" s="1624" t="s">
        <v>2124</v>
      </c>
      <c r="C37" s="1705">
        <v>0.74</v>
      </c>
      <c r="D37" s="1640">
        <v>100</v>
      </c>
      <c r="E37" s="1705">
        <v>0.74</v>
      </c>
      <c r="F37" s="1683">
        <f>LOOKUP(E37,111:111,112:112)-LOOKUP(C37,111:111,112:112)+100</f>
        <v>100</v>
      </c>
      <c r="G37" s="1705">
        <v>0.74</v>
      </c>
      <c r="H37" s="1683">
        <f>LOOKUP(G37,111:111,112:112)-LOOKUP(C37,111:111,112:112)+100</f>
        <v>100</v>
      </c>
      <c r="I37" s="1705">
        <v>0.74</v>
      </c>
      <c r="J37" s="1640">
        <f>LOOKUP(I37,111:111,112:112)-LOOKUP(C37,111:111,112:112)+100</f>
        <v>100</v>
      </c>
      <c r="K37" s="1921"/>
      <c r="L37" s="2920"/>
      <c r="M37" s="2916"/>
      <c r="N37" s="2916"/>
      <c r="O37" s="2916"/>
      <c r="P37" s="3600"/>
      <c r="Q37" s="2834" t="str">
        <f t="shared" si="11"/>
        <v>成新度</v>
      </c>
      <c r="R37" s="1654" t="s">
        <v>25</v>
      </c>
      <c r="S37" s="1655">
        <f t="shared" si="12"/>
        <v>100</v>
      </c>
      <c r="T37" s="1654" t="s">
        <v>25</v>
      </c>
      <c r="U37" s="1655">
        <f t="shared" si="13"/>
        <v>100</v>
      </c>
      <c r="V37" s="1654" t="s">
        <v>25</v>
      </c>
      <c r="W37" s="1655">
        <f t="shared" si="14"/>
        <v>100</v>
      </c>
      <c r="X37" s="2003"/>
      <c r="Y37" s="3600"/>
      <c r="Z37" s="2007" t="str">
        <f t="shared" si="15"/>
        <v>成新度</v>
      </c>
      <c r="AA37" s="1998">
        <f t="shared" si="3"/>
        <v>1</v>
      </c>
      <c r="AB37" s="1998">
        <f t="shared" si="4"/>
        <v>1</v>
      </c>
      <c r="AC37" s="1998">
        <f t="shared" si="5"/>
        <v>1</v>
      </c>
    </row>
    <row r="38" spans="1:29" s="1613" customFormat="1" ht="15">
      <c r="A38" s="1704"/>
      <c r="B38" s="1624" t="s">
        <v>2151</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00"/>
      <c r="Q38" s="2833" t="str">
        <f t="shared" si="11"/>
        <v>写字楼等级</v>
      </c>
      <c r="R38" s="1609" t="s">
        <v>25</v>
      </c>
      <c r="S38" s="1610">
        <f t="shared" si="12"/>
        <v>100</v>
      </c>
      <c r="T38" s="1609" t="s">
        <v>25</v>
      </c>
      <c r="U38" s="1610">
        <f t="shared" si="13"/>
        <v>100</v>
      </c>
      <c r="V38" s="1609" t="s">
        <v>25</v>
      </c>
      <c r="W38" s="1610">
        <f t="shared" si="14"/>
        <v>100</v>
      </c>
      <c r="X38" s="1611"/>
      <c r="Y38" s="3600"/>
      <c r="Z38" s="1622" t="str">
        <f t="shared" si="15"/>
        <v>写字楼等级</v>
      </c>
      <c r="AA38" s="1612">
        <f t="shared" si="3"/>
        <v>1</v>
      </c>
      <c r="AB38" s="1612">
        <f t="shared" si="4"/>
        <v>1</v>
      </c>
      <c r="AC38" s="1612">
        <f t="shared" si="5"/>
        <v>1</v>
      </c>
    </row>
    <row r="39" spans="1:29" ht="15">
      <c r="A39" s="1701"/>
      <c r="B39" s="1624" t="s">
        <v>2152</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00" t="s">
        <v>2036</v>
      </c>
      <c r="Q39" s="2834" t="str">
        <f t="shared" si="11"/>
        <v>物业管理</v>
      </c>
      <c r="R39" s="1654" t="s">
        <v>25</v>
      </c>
      <c r="S39" s="1655">
        <f t="shared" si="12"/>
        <v>100</v>
      </c>
      <c r="T39" s="1654" t="s">
        <v>25</v>
      </c>
      <c r="U39" s="1655">
        <f t="shared" si="13"/>
        <v>100</v>
      </c>
      <c r="V39" s="1654" t="s">
        <v>25</v>
      </c>
      <c r="W39" s="1655">
        <f t="shared" si="14"/>
        <v>100</v>
      </c>
      <c r="X39" s="2003"/>
      <c r="Y39" s="3600" t="s">
        <v>2036</v>
      </c>
      <c r="Z39" s="2007" t="str">
        <f t="shared" si="15"/>
        <v>物业管理</v>
      </c>
      <c r="AA39" s="1998">
        <f t="shared" si="3"/>
        <v>1</v>
      </c>
      <c r="AB39" s="1998">
        <f t="shared" si="4"/>
        <v>1</v>
      </c>
      <c r="AC39" s="1998">
        <f t="shared" si="5"/>
        <v>1</v>
      </c>
    </row>
    <row r="40" spans="1:29" ht="15">
      <c r="A40" s="1701"/>
      <c r="B40" s="1624" t="s">
        <v>2125</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00"/>
      <c r="Q40" s="2834" t="str">
        <f t="shared" si="11"/>
        <v>市政基础设施</v>
      </c>
      <c r="R40" s="1654" t="s">
        <v>25</v>
      </c>
      <c r="S40" s="1655">
        <f t="shared" si="12"/>
        <v>100</v>
      </c>
      <c r="T40" s="1654" t="s">
        <v>25</v>
      </c>
      <c r="U40" s="1655">
        <f t="shared" si="13"/>
        <v>100</v>
      </c>
      <c r="V40" s="1654" t="s">
        <v>25</v>
      </c>
      <c r="W40" s="1655">
        <f t="shared" si="14"/>
        <v>100</v>
      </c>
      <c r="X40" s="2003"/>
      <c r="Y40" s="3600"/>
      <c r="Z40" s="2007" t="str">
        <f t="shared" si="15"/>
        <v>市政基础设施</v>
      </c>
      <c r="AA40" s="1998">
        <f t="shared" si="3"/>
        <v>1</v>
      </c>
      <c r="AB40" s="1998">
        <f t="shared" si="4"/>
        <v>1</v>
      </c>
      <c r="AC40" s="1998">
        <f t="shared" si="5"/>
        <v>1</v>
      </c>
    </row>
    <row r="41" spans="1:29" ht="15">
      <c r="A41" s="1701"/>
      <c r="B41" s="1624" t="s">
        <v>2127</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00"/>
      <c r="Q41" s="2834" t="str">
        <f t="shared" si="11"/>
        <v>层高</v>
      </c>
      <c r="R41" s="1654" t="s">
        <v>25</v>
      </c>
      <c r="S41" s="1655">
        <f t="shared" si="12"/>
        <v>100</v>
      </c>
      <c r="T41" s="1654" t="s">
        <v>25</v>
      </c>
      <c r="U41" s="1655">
        <f t="shared" si="13"/>
        <v>100</v>
      </c>
      <c r="V41" s="1654" t="s">
        <v>25</v>
      </c>
      <c r="W41" s="1655">
        <f t="shared" si="14"/>
        <v>100</v>
      </c>
      <c r="X41" s="2003"/>
      <c r="Y41" s="3600"/>
      <c r="Z41" s="2007" t="str">
        <f t="shared" si="15"/>
        <v>层高</v>
      </c>
      <c r="AA41" s="1998">
        <f t="shared" si="3"/>
        <v>1</v>
      </c>
      <c r="AB41" s="1998">
        <f t="shared" si="4"/>
        <v>1</v>
      </c>
      <c r="AC41" s="1998">
        <f t="shared" si="5"/>
        <v>1</v>
      </c>
    </row>
    <row r="42" spans="1:29" s="1700" customFormat="1" ht="15">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00"/>
      <c r="Q42" s="1695" t="str">
        <f t="shared" si="11"/>
        <v>单套建筑面积</v>
      </c>
      <c r="R42" s="1696" t="s">
        <v>25</v>
      </c>
      <c r="S42" s="1697">
        <f t="shared" si="12"/>
        <v>100</v>
      </c>
      <c r="T42" s="1696" t="s">
        <v>25</v>
      </c>
      <c r="U42" s="1697">
        <f t="shared" si="13"/>
        <v>100</v>
      </c>
      <c r="V42" s="1696" t="s">
        <v>25</v>
      </c>
      <c r="W42" s="1697">
        <f t="shared" si="14"/>
        <v>100</v>
      </c>
      <c r="X42" s="1698"/>
      <c r="Y42" s="3600"/>
      <c r="Z42" s="1699" t="str">
        <f t="shared" si="15"/>
        <v>单套建筑面积</v>
      </c>
      <c r="AA42" s="1998">
        <f t="shared" si="3"/>
        <v>1</v>
      </c>
      <c r="AB42" s="1998">
        <f t="shared" si="4"/>
        <v>1</v>
      </c>
      <c r="AC42" s="1998">
        <f t="shared" si="5"/>
        <v>1</v>
      </c>
    </row>
    <row r="43" spans="1:29" ht="15">
      <c r="A43" s="1701"/>
      <c r="B43" s="1624" t="s">
        <v>2130</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00"/>
      <c r="Q43" s="2834" t="str">
        <f t="shared" si="11"/>
        <v>内部装修</v>
      </c>
      <c r="R43" s="1654" t="s">
        <v>25</v>
      </c>
      <c r="S43" s="1655">
        <f t="shared" si="12"/>
        <v>100</v>
      </c>
      <c r="T43" s="1654" t="s">
        <v>25</v>
      </c>
      <c r="U43" s="1655">
        <f t="shared" si="13"/>
        <v>100</v>
      </c>
      <c r="V43" s="1654" t="s">
        <v>25</v>
      </c>
      <c r="W43" s="1655">
        <f t="shared" si="14"/>
        <v>100</v>
      </c>
      <c r="X43" s="2003"/>
      <c r="Y43" s="3600"/>
      <c r="Z43" s="2007" t="str">
        <f t="shared" si="15"/>
        <v>内部装修</v>
      </c>
      <c r="AA43" s="1998">
        <f t="shared" si="3"/>
        <v>1</v>
      </c>
      <c r="AB43" s="1998">
        <f t="shared" si="4"/>
        <v>1</v>
      </c>
      <c r="AC43" s="1998">
        <f t="shared" si="5"/>
        <v>1</v>
      </c>
    </row>
    <row r="44" spans="1:29" ht="15">
      <c r="A44" s="1701"/>
      <c r="B44" s="1624" t="s">
        <v>2047</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00"/>
      <c r="Q44" s="2834" t="str">
        <f t="shared" si="11"/>
        <v>内部装修维护情况</v>
      </c>
      <c r="R44" s="1654" t="s">
        <v>25</v>
      </c>
      <c r="S44" s="1655">
        <f t="shared" si="12"/>
        <v>100</v>
      </c>
      <c r="T44" s="1654" t="s">
        <v>25</v>
      </c>
      <c r="U44" s="1655">
        <f t="shared" si="13"/>
        <v>100</v>
      </c>
      <c r="V44" s="1654" t="s">
        <v>25</v>
      </c>
      <c r="W44" s="1655">
        <f t="shared" si="14"/>
        <v>100</v>
      </c>
      <c r="X44" s="2003"/>
      <c r="Y44" s="3600"/>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00"/>
      <c r="Q45" s="2833">
        <f t="shared" si="11"/>
        <v>111</v>
      </c>
      <c r="R45" s="1609" t="s">
        <v>25</v>
      </c>
      <c r="S45" s="1610">
        <f t="shared" si="12"/>
        <v>100</v>
      </c>
      <c r="T45" s="1609" t="s">
        <v>25</v>
      </c>
      <c r="U45" s="1610">
        <f t="shared" si="13"/>
        <v>100</v>
      </c>
      <c r="V45" s="1609" t="s">
        <v>25</v>
      </c>
      <c r="W45" s="1610">
        <f t="shared" si="14"/>
        <v>100</v>
      </c>
      <c r="X45" s="1611"/>
      <c r="Y45" s="3600"/>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00"/>
      <c r="Q46" s="2834">
        <f t="shared" si="11"/>
        <v>111</v>
      </c>
      <c r="R46" s="1654" t="s">
        <v>25</v>
      </c>
      <c r="S46" s="1655">
        <f t="shared" si="12"/>
        <v>100</v>
      </c>
      <c r="T46" s="1654" t="s">
        <v>25</v>
      </c>
      <c r="U46" s="1655">
        <f t="shared" si="13"/>
        <v>100</v>
      </c>
      <c r="V46" s="1654" t="s">
        <v>25</v>
      </c>
      <c r="W46" s="1655">
        <f t="shared" si="14"/>
        <v>100</v>
      </c>
      <c r="X46" s="2003"/>
      <c r="Y46" s="3600"/>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01"/>
      <c r="Q47" s="2834">
        <f t="shared" si="11"/>
        <v>111</v>
      </c>
      <c r="R47" s="1654" t="s">
        <v>25</v>
      </c>
      <c r="S47" s="1655">
        <f t="shared" si="12"/>
        <v>100</v>
      </c>
      <c r="T47" s="1654" t="s">
        <v>25</v>
      </c>
      <c r="U47" s="1655">
        <f t="shared" si="13"/>
        <v>100</v>
      </c>
      <c r="V47" s="1654" t="s">
        <v>25</v>
      </c>
      <c r="W47" s="1655">
        <f t="shared" si="14"/>
        <v>100</v>
      </c>
      <c r="X47" s="2003"/>
      <c r="Y47" s="3601"/>
      <c r="Z47" s="2007">
        <f t="shared" si="15"/>
        <v>111</v>
      </c>
      <c r="AA47" s="1998">
        <f t="shared" si="3"/>
        <v>1</v>
      </c>
      <c r="AB47" s="1998">
        <f t="shared" si="4"/>
        <v>1</v>
      </c>
      <c r="AC47" s="1998">
        <f t="shared" si="5"/>
        <v>1</v>
      </c>
    </row>
    <row r="48" spans="1:29" ht="15">
      <c r="A48" s="1710" t="s">
        <v>2048</v>
      </c>
      <c r="B48" s="1711"/>
      <c r="C48" s="1712" t="s">
        <v>1</v>
      </c>
      <c r="D48" s="1713"/>
      <c r="E48" s="1714">
        <f>Sheet2!F148</f>
        <v>33000</v>
      </c>
      <c r="F48" s="1715"/>
      <c r="G48" s="1716">
        <f>Sheet2!F146</f>
        <v>30000</v>
      </c>
      <c r="H48" s="1717"/>
      <c r="I48" s="1714">
        <f>Sheet2!F149</f>
        <v>33100</v>
      </c>
      <c r="J48" s="1717"/>
      <c r="K48" s="1942"/>
      <c r="L48" s="2921"/>
      <c r="M48" s="2916"/>
      <c r="N48" s="2916"/>
      <c r="O48" s="2916"/>
      <c r="P48" s="3569" t="str">
        <f>A48</f>
        <v>成交单价（元/平方米）</v>
      </c>
      <c r="Q48" s="3569"/>
      <c r="R48" s="3602">
        <f>E48</f>
        <v>33000</v>
      </c>
      <c r="S48" s="3602"/>
      <c r="T48" s="3602">
        <f>G48</f>
        <v>30000</v>
      </c>
      <c r="U48" s="3602"/>
      <c r="V48" s="3602">
        <f>I48</f>
        <v>33100</v>
      </c>
      <c r="W48" s="3602"/>
      <c r="X48" s="1720"/>
      <c r="Y48" s="2002"/>
      <c r="Z48" s="1720"/>
      <c r="AA48" s="1720"/>
      <c r="AB48" s="1720"/>
      <c r="AC48" s="1720"/>
    </row>
    <row r="49" spans="1:29" ht="15.75" thickBot="1">
      <c r="A49" s="1722" t="s">
        <v>2131</v>
      </c>
      <c r="B49" s="1723"/>
      <c r="C49" s="1724">
        <f>R50</f>
        <v>31646</v>
      </c>
      <c r="D49" s="1725" t="s">
        <v>2502</v>
      </c>
      <c r="E49" s="1726">
        <f>R49</f>
        <v>33388</v>
      </c>
      <c r="F49" s="1727"/>
      <c r="G49" s="1724">
        <f>T49</f>
        <v>31250</v>
      </c>
      <c r="H49" s="1727"/>
      <c r="I49" s="1726">
        <f>V49</f>
        <v>30300</v>
      </c>
      <c r="J49" s="1727"/>
      <c r="K49" s="2429">
        <f>F49+H49+J49</f>
        <v>0</v>
      </c>
      <c r="L49" s="2921"/>
      <c r="M49" s="2916"/>
      <c r="N49" s="2916"/>
      <c r="O49" s="2916"/>
      <c r="P49" s="3569" t="str">
        <f>A49</f>
        <v>比较价值（元/平方米）</v>
      </c>
      <c r="Q49" s="3569"/>
      <c r="R49" s="3602">
        <f>IF(E1="售价",ROUND(PRODUCT(R48,AA7:AA47),0),ROUND(PRODUCT(R48,AA7:AA47),1))</f>
        <v>33388</v>
      </c>
      <c r="S49" s="3602"/>
      <c r="T49" s="3602">
        <f>IF(E1="售价",ROUND(PRODUCT(T48,AB7:AB47),0),ROUND(PRODUCT(T48,AB7:AB47),1))</f>
        <v>31250</v>
      </c>
      <c r="U49" s="3602"/>
      <c r="V49" s="3602">
        <f>IF(E1="售价",ROUND(PRODUCT(V48,AC7:AC47),0),ROUND(PRODUCT(V48,AC7:AC47),1))</f>
        <v>30300</v>
      </c>
      <c r="W49" s="3602"/>
      <c r="X49" s="1720"/>
      <c r="Y49" s="1720"/>
      <c r="Z49" s="1720"/>
      <c r="AA49" s="1720"/>
      <c r="AB49" s="1720"/>
      <c r="AC49" s="1720"/>
    </row>
    <row r="50" spans="1:29" ht="15.75" thickBot="1">
      <c r="A50" s="1728" t="s">
        <v>2154</v>
      </c>
      <c r="B50" s="1729"/>
      <c r="C50" s="1731">
        <f>R50</f>
        <v>31646</v>
      </c>
      <c r="D50" s="1731"/>
      <c r="E50" s="1731"/>
      <c r="F50" s="1731"/>
      <c r="G50" s="1731"/>
      <c r="H50" s="1731"/>
      <c r="I50" s="1731"/>
      <c r="J50" s="1731"/>
      <c r="K50" s="1947"/>
      <c r="L50" s="2921"/>
      <c r="M50" s="2916"/>
      <c r="N50" s="2916"/>
      <c r="O50" s="2916"/>
      <c r="P50" s="3603" t="str">
        <f>A50</f>
        <v>估价对象XX用房的比较价值（楼面单价，元/平方米）</v>
      </c>
      <c r="Q50" s="3604"/>
      <c r="R50" s="3605">
        <f>IF(E1="售价",ROUND(IF(D49="简单平均",AVERAGE(R49:V49),R49*F49+T49*H49+V49*J49),0),ROUND(IF(D49="简单平均",AVERAGE(R49:V49),R49*F49+T49*H49+V49*J49),1))</f>
        <v>31646</v>
      </c>
      <c r="S50" s="3605"/>
      <c r="T50" s="3605"/>
      <c r="U50" s="3605"/>
      <c r="V50" s="3605"/>
      <c r="W50" s="3605"/>
      <c r="X50" s="1720"/>
      <c r="Y50" s="1720"/>
      <c r="Z50" s="1720"/>
      <c r="AA50" s="1720"/>
      <c r="AB50" s="1720"/>
      <c r="AC50" s="1720"/>
    </row>
    <row r="51" spans="1:29">
      <c r="G51" s="2925"/>
    </row>
    <row r="53" spans="1:29" ht="13.5" customHeight="1">
      <c r="C53" s="383" t="s">
        <v>2133</v>
      </c>
      <c r="D53" s="1736"/>
      <c r="E53" s="1737">
        <f>IF(E48&lt;E49,E49/E48-1,E48/E49-1)</f>
        <v>1.1757575757575855E-2</v>
      </c>
      <c r="F53" s="1738" t="str">
        <f>IF(OR(E53&gt;=0.3,E53&lt;=-0.3),"超过30%","")</f>
        <v/>
      </c>
      <c r="G53" s="1737">
        <f>IF(G48&lt;G49,G49/G48-1,G48/G49-1)</f>
        <v>4.1666666666666741E-2</v>
      </c>
      <c r="H53" s="1738" t="str">
        <f>IF(OR(G53&gt;=0.3,G53&lt;=-0.3),"超过30%","")</f>
        <v/>
      </c>
      <c r="I53" s="1737">
        <f>IF(I48&lt;I49,I49/I48-1,I48/I49-1)</f>
        <v>9.2409240924092417E-2</v>
      </c>
      <c r="J53" s="1738" t="str">
        <f>IF(OR(I53&gt;=0.3,I53&lt;=-0.3),"超过30%","")</f>
        <v/>
      </c>
    </row>
    <row r="54" spans="1:29" ht="13.5" customHeight="1">
      <c r="C54" s="383" t="s">
        <v>2134</v>
      </c>
      <c r="D54" s="1739"/>
      <c r="E54" s="1737">
        <f>IF(E49&lt;G49,G49/E49-1,E49/G49-1)</f>
        <v>6.8416000000000032E-2</v>
      </c>
      <c r="F54" s="1738" t="str">
        <f>IF(OR(E54&gt;=0.2,E54&lt;=-0.2),"超过20%","")</f>
        <v/>
      </c>
      <c r="G54" s="1737">
        <f>IF(G49&lt;I49,I49/G49-1,G49/I49-1)</f>
        <v>3.1353135313531455E-2</v>
      </c>
      <c r="H54" s="1738" t="str">
        <f>IF(OR(G54&gt;=0.2,G54&lt;=-0.2),"超过20%","")</f>
        <v/>
      </c>
      <c r="I54" s="1737">
        <f>IF(I49&lt;E49,E49/I49-1,I49/E49-1)</f>
        <v>0.10191419141914193</v>
      </c>
      <c r="J54" s="1738" t="str">
        <f>IF(OR(I54&gt;=0.2,I54&lt;=-0.2),"超过20%","")</f>
        <v/>
      </c>
    </row>
    <row r="55" spans="1:29" s="1742" customFormat="1" ht="13.5" customHeight="1">
      <c r="C55" s="383" t="s">
        <v>2135</v>
      </c>
      <c r="D55" s="1739"/>
      <c r="E55" s="1737">
        <f>IF(E48&lt;G48,G48/E48-1,E48/G48-1)</f>
        <v>0.10000000000000009</v>
      </c>
      <c r="F55" s="1738" t="str">
        <f>IF(OR(E55&gt;=0.3,E55&lt;=-0.3),"超过30%","")</f>
        <v/>
      </c>
      <c r="G55" s="1737">
        <f>IF(G48&lt;I48,I48/G48-1,G48/I48-1)</f>
        <v>0.10333333333333328</v>
      </c>
      <c r="H55" s="1738" t="str">
        <f>IF(OR(G55&gt;=0.3,G55&lt;=-0.3),"超过30%","")</f>
        <v/>
      </c>
      <c r="I55" s="1737">
        <f>IF(I48&lt;E48,E48/I48-1,I48/E48-1)</f>
        <v>3.0303030303029388E-3</v>
      </c>
      <c r="J55" s="1738" t="str">
        <f>IF(OR(I55&gt;=0.3,I55&lt;=-0.3),"超过30%","")</f>
        <v/>
      </c>
      <c r="K55" s="2928"/>
      <c r="L55" s="2922"/>
    </row>
    <row r="56" spans="1:29" s="1742" customFormat="1">
      <c r="B56" s="2926"/>
      <c r="C56" s="2927"/>
      <c r="K56" s="2928"/>
      <c r="L56" s="2922"/>
    </row>
    <row r="57" spans="1:29">
      <c r="B57" s="2926"/>
      <c r="C57" s="2927"/>
    </row>
    <row r="58" spans="1:29" ht="21.75" thickBot="1">
      <c r="A58" s="1745" t="s">
        <v>2136</v>
      </c>
      <c r="B58" s="1720"/>
      <c r="C58" s="1746"/>
      <c r="D58" s="1746"/>
      <c r="E58" s="1746"/>
      <c r="F58" s="1746"/>
      <c r="G58" s="1746"/>
      <c r="H58" s="1746"/>
      <c r="I58" s="1746"/>
      <c r="J58" s="1746"/>
      <c r="K58" s="1747"/>
      <c r="L58" s="1748"/>
      <c r="M58" s="1746"/>
      <c r="N58" s="2924"/>
      <c r="O58" s="2924"/>
      <c r="P58" s="1974"/>
      <c r="Q58" s="1750"/>
    </row>
    <row r="59" spans="1:29" s="1756" customFormat="1" ht="15">
      <c r="A59" s="1751" t="s">
        <v>2018</v>
      </c>
      <c r="B59" s="1752"/>
      <c r="C59" s="1753" t="str">
        <f>YEAR(C7)&amp;"-"&amp;MONTH(C7)</f>
        <v>2022-4</v>
      </c>
      <c r="D59" s="1754">
        <f>EDATE(C59,-1)</f>
        <v>44621</v>
      </c>
      <c r="E59" s="1754">
        <f t="shared" ref="E59:O59" si="16">EDATE(D59,-1)</f>
        <v>44593</v>
      </c>
      <c r="F59" s="1754">
        <f t="shared" si="16"/>
        <v>44562</v>
      </c>
      <c r="G59" s="1754">
        <f t="shared" si="16"/>
        <v>44531</v>
      </c>
      <c r="H59" s="1754">
        <f t="shared" si="16"/>
        <v>44501</v>
      </c>
      <c r="I59" s="1754">
        <f t="shared" si="16"/>
        <v>44470</v>
      </c>
      <c r="J59" s="1754">
        <f t="shared" si="16"/>
        <v>44440</v>
      </c>
      <c r="K59" s="1754">
        <f t="shared" si="16"/>
        <v>44409</v>
      </c>
      <c r="L59" s="1754">
        <f t="shared" si="16"/>
        <v>44378</v>
      </c>
      <c r="M59" s="1754">
        <f t="shared" si="16"/>
        <v>44348</v>
      </c>
      <c r="N59" s="1754">
        <f t="shared" si="16"/>
        <v>44317</v>
      </c>
      <c r="O59" s="1754">
        <f t="shared" si="16"/>
        <v>44287</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2056</v>
      </c>
      <c r="B61" s="1764"/>
      <c r="C61" s="1765"/>
      <c r="D61" s="1766"/>
      <c r="E61" s="1766"/>
      <c r="F61" s="1766"/>
      <c r="G61" s="1766"/>
      <c r="H61" s="1766"/>
      <c r="I61" s="1766"/>
      <c r="J61" s="1766"/>
      <c r="K61" s="1766"/>
      <c r="L61" s="1766"/>
      <c r="M61" s="1767"/>
      <c r="N61" s="1766"/>
      <c r="O61" s="2423"/>
      <c r="P61" s="1750"/>
      <c r="Q61" s="1750"/>
    </row>
    <row r="62" spans="1:29" s="1613" customFormat="1" ht="15">
      <c r="A62" s="1768" t="s">
        <v>2020</v>
      </c>
      <c r="B62" s="1758"/>
      <c r="C62" s="1769" t="s">
        <v>2021</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2059</v>
      </c>
      <c r="B64" s="1776" t="s">
        <v>2024</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2027</v>
      </c>
      <c r="C66" s="1788" t="s">
        <v>2060</v>
      </c>
      <c r="D66" s="1788" t="s">
        <v>2061</v>
      </c>
      <c r="E66" s="1788" t="s">
        <v>2062</v>
      </c>
      <c r="F66" s="1788" t="s">
        <v>2063</v>
      </c>
      <c r="G66" s="1788" t="s">
        <v>2064</v>
      </c>
      <c r="H66" s="1788" t="s">
        <v>2065</v>
      </c>
      <c r="I66" s="1788" t="s">
        <v>2066</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2028</v>
      </c>
      <c r="C68" s="1794" t="str">
        <f>C69&amp;"（含）"&amp;"-"&amp;D69</f>
        <v>0（含）-1</v>
      </c>
      <c r="D68" s="1794" t="str">
        <f t="shared" ref="D68:L68" si="17">D69&amp;"（含）"&amp;"-"&amp;E69</f>
        <v>1（含）-2</v>
      </c>
      <c r="E68" s="1794" t="str">
        <f t="shared" si="17"/>
        <v>2（含）-3</v>
      </c>
      <c r="F68" s="1794" t="str">
        <f t="shared" si="17"/>
        <v>3（含）-4</v>
      </c>
      <c r="G68" s="1794" t="str">
        <f t="shared" si="17"/>
        <v>4（含）-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v>1</v>
      </c>
      <c r="E69" s="1796">
        <v>2</v>
      </c>
      <c r="F69" s="1796">
        <v>3</v>
      </c>
      <c r="G69" s="1796">
        <v>4</v>
      </c>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2029</v>
      </c>
      <c r="B77" s="1776" t="s">
        <v>2155</v>
      </c>
      <c r="C77" s="1814" t="s">
        <v>2068</v>
      </c>
      <c r="D77" s="1814" t="s">
        <v>2069</v>
      </c>
      <c r="E77" s="1814" t="s">
        <v>2070</v>
      </c>
      <c r="F77" s="1814" t="s">
        <v>2071</v>
      </c>
      <c r="G77" s="1814" t="s">
        <v>2072</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2073</v>
      </c>
      <c r="C79" s="579" t="s">
        <v>2068</v>
      </c>
      <c r="D79" s="579" t="s">
        <v>2069</v>
      </c>
      <c r="E79" s="579" t="s">
        <v>2070</v>
      </c>
      <c r="F79" s="579" t="s">
        <v>2071</v>
      </c>
      <c r="G79" s="579" t="s">
        <v>2072</v>
      </c>
      <c r="H79" s="1788"/>
      <c r="I79" s="1788"/>
      <c r="J79" s="1788"/>
      <c r="K79" s="428"/>
      <c r="L79" s="428"/>
      <c r="M79" s="1789"/>
      <c r="N79" s="2934"/>
      <c r="O79" s="2934"/>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5"/>
      <c r="O80" s="2935"/>
      <c r="P80" s="1986"/>
      <c r="Q80" s="1750"/>
    </row>
    <row r="81" spans="1:17" ht="15.75" thickTop="1">
      <c r="A81" s="1782"/>
      <c r="B81" s="1787" t="s">
        <v>2074</v>
      </c>
      <c r="C81" s="579" t="s">
        <v>2068</v>
      </c>
      <c r="D81" s="579" t="s">
        <v>2069</v>
      </c>
      <c r="E81" s="579" t="s">
        <v>2070</v>
      </c>
      <c r="F81" s="579" t="s">
        <v>2071</v>
      </c>
      <c r="G81" s="579" t="s">
        <v>2072</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2117</v>
      </c>
      <c r="C83" s="1788" t="s">
        <v>2075</v>
      </c>
      <c r="D83" s="1788" t="s">
        <v>2076</v>
      </c>
      <c r="E83" s="1788" t="s">
        <v>2077</v>
      </c>
      <c r="F83" s="1788" t="s">
        <v>2078</v>
      </c>
      <c r="G83" s="1788" t="s">
        <v>2079</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2156</v>
      </c>
      <c r="C85" s="579" t="s">
        <v>2068</v>
      </c>
      <c r="D85" s="579" t="s">
        <v>2069</v>
      </c>
      <c r="E85" s="579" t="s">
        <v>2070</v>
      </c>
      <c r="F85" s="579" t="s">
        <v>2071</v>
      </c>
      <c r="G85" s="579" t="s">
        <v>2072</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2157</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3328" t="s">
        <v>3056</v>
      </c>
      <c r="D89" s="3328" t="s">
        <v>3055</v>
      </c>
      <c r="E89" s="3328" t="s">
        <v>3057</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95</v>
      </c>
      <c r="E90" s="1791">
        <f t="shared" ref="E90:M90" si="20">D90-$K27</f>
        <v>90</v>
      </c>
      <c r="F90" s="1791">
        <f t="shared" si="20"/>
        <v>85</v>
      </c>
      <c r="G90" s="1791">
        <f t="shared" si="20"/>
        <v>80</v>
      </c>
      <c r="H90" s="1791">
        <f t="shared" si="20"/>
        <v>75</v>
      </c>
      <c r="I90" s="1791">
        <f t="shared" si="20"/>
        <v>70</v>
      </c>
      <c r="J90" s="1791">
        <f t="shared" si="20"/>
        <v>65</v>
      </c>
      <c r="K90" s="1791">
        <f t="shared" si="20"/>
        <v>60</v>
      </c>
      <c r="L90" s="1791">
        <f t="shared" si="20"/>
        <v>55</v>
      </c>
      <c r="M90" s="1791">
        <f t="shared" si="20"/>
        <v>50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2034</v>
      </c>
      <c r="B101" s="1776" t="s">
        <v>2083</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29.25" thickTop="1">
      <c r="A103" s="1782"/>
      <c r="B103" s="1787" t="s">
        <v>2084</v>
      </c>
      <c r="C103" s="579" t="str">
        <f>C104&amp;"(含)"&amp;"-"&amp;D104</f>
        <v>0(含)-200</v>
      </c>
      <c r="D103" s="579" t="str">
        <f t="shared" ref="D103:L103" si="23">D104&amp;"(含)"&amp;"-"&amp;E104</f>
        <v>200(含)-500</v>
      </c>
      <c r="E103" s="579" t="str">
        <f t="shared" si="23"/>
        <v>500(含)-1000</v>
      </c>
      <c r="F103" s="579" t="str">
        <f t="shared" si="23"/>
        <v>1000(含)-1500</v>
      </c>
      <c r="G103" s="579" t="str">
        <f t="shared" si="23"/>
        <v>1500(含)-2500</v>
      </c>
      <c r="H103" s="579" t="str">
        <f t="shared" si="23"/>
        <v>2500(含)-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200</v>
      </c>
      <c r="E104" s="1830">
        <v>500</v>
      </c>
      <c r="F104" s="1830">
        <v>1000</v>
      </c>
      <c r="G104" s="1830">
        <v>1500</v>
      </c>
      <c r="H104" s="1830">
        <v>2500</v>
      </c>
      <c r="I104" s="1830"/>
      <c r="J104" s="485"/>
      <c r="K104" s="485"/>
      <c r="L104" s="485"/>
      <c r="M104" s="1831"/>
      <c r="N104" s="2936"/>
      <c r="O104" s="2936"/>
      <c r="P104" s="1987"/>
      <c r="Q104" s="1802"/>
    </row>
    <row r="105" spans="1:17" s="1700" customFormat="1" ht="15.75" thickBot="1">
      <c r="A105" s="1798"/>
      <c r="B105" s="1790"/>
      <c r="C105" s="1803">
        <v>98</v>
      </c>
      <c r="D105" s="1784">
        <v>100</v>
      </c>
      <c r="E105" s="1784">
        <v>98</v>
      </c>
      <c r="F105" s="1784">
        <v>96</v>
      </c>
      <c r="G105" s="1784">
        <v>94</v>
      </c>
      <c r="H105" s="1784">
        <v>92</v>
      </c>
      <c r="I105" s="1784"/>
      <c r="J105" s="1784"/>
      <c r="K105" s="1784"/>
      <c r="L105" s="1784"/>
      <c r="M105" s="1785"/>
      <c r="N105" s="2935"/>
      <c r="O105" s="2935"/>
      <c r="P105" s="1987"/>
      <c r="Q105" s="1802"/>
    </row>
    <row r="106" spans="1:17" ht="15" thickTop="1">
      <c r="A106" s="1832"/>
      <c r="B106" s="1787" t="s">
        <v>2085</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2087</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2158</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2089</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2090</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2159</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2092</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2093</v>
      </c>
      <c r="C125" s="579" t="s">
        <v>2068</v>
      </c>
      <c r="D125" s="579" t="s">
        <v>2069</v>
      </c>
      <c r="E125" s="579" t="s">
        <v>2070</v>
      </c>
      <c r="F125" s="579" t="s">
        <v>2071</v>
      </c>
      <c r="G125" s="579" t="s">
        <v>2072</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557</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31618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347902</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347468</v>
      </c>
      <c r="D6" s="36" t="s">
        <v>2460</v>
      </c>
      <c r="E6" s="235" t="s">
        <v>1776</v>
      </c>
      <c r="F6" s="236">
        <f>'数据-取费表'!B30</f>
        <v>6</v>
      </c>
      <c r="G6" s="909"/>
      <c r="H6" s="1015" t="s">
        <v>1774</v>
      </c>
      <c r="I6" s="1370" t="s">
        <v>1775</v>
      </c>
      <c r="J6" s="234">
        <f>ROUND(M6*M8*M7*(1-M9),0)</f>
        <v>0</v>
      </c>
      <c r="K6" s="36" t="s">
        <v>2460</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176.29</v>
      </c>
      <c r="G7" s="909"/>
      <c r="H7" s="237"/>
      <c r="I7" s="238"/>
      <c r="J7" s="239"/>
      <c r="K7" s="240"/>
      <c r="L7" s="235" t="s">
        <v>1777</v>
      </c>
      <c r="M7" s="236">
        <f>IF('数据-取费表'!B42="",IF(D1="仅计算典型户型",'数据-取费表'!E5,'数据-取费表'!B5),'数据-取费表'!B42)</f>
        <v>176.29</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434</v>
      </c>
      <c r="D10" s="1450" t="s">
        <v>2465</v>
      </c>
      <c r="E10" s="246" t="s">
        <v>1783</v>
      </c>
      <c r="F10" s="1451" t="s">
        <v>1784</v>
      </c>
      <c r="G10" s="909"/>
      <c r="H10" s="1015" t="s">
        <v>1781</v>
      </c>
      <c r="I10" s="1449" t="s">
        <v>1782</v>
      </c>
      <c r="J10" s="1016">
        <f ca="1">ROUND(IF(M10="押一",J6/12*M11,IF(M10="押二",J6/12*2*M11,IF(M10="押三",J6/12*3*M11,J11*M11))),0)</f>
        <v>0</v>
      </c>
      <c r="K10" s="36" t="s">
        <v>2465</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752758</v>
      </c>
      <c r="D13" s="1023" t="s">
        <v>1791</v>
      </c>
      <c r="E13" s="1023" t="s">
        <v>1792</v>
      </c>
      <c r="F13" s="1024">
        <f>'数据-取费表'!E20</f>
        <v>0.74</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705160</v>
      </c>
      <c r="D14" s="1256" t="s">
        <v>1795</v>
      </c>
      <c r="E14" s="1257"/>
      <c r="F14" s="757"/>
      <c r="G14" s="910"/>
      <c r="H14" s="253" t="s">
        <v>1774</v>
      </c>
      <c r="I14" s="235" t="s">
        <v>1796</v>
      </c>
      <c r="J14" s="13">
        <f ca="1">C29</f>
        <v>1017240</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21155</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18847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35258</v>
      </c>
      <c r="D17" s="235" t="s">
        <v>1809</v>
      </c>
      <c r="E17" s="235" t="s">
        <v>1810</v>
      </c>
      <c r="F17" s="15">
        <f>'数据-取费表'!E23</f>
        <v>200</v>
      </c>
      <c r="G17" s="910"/>
      <c r="H17" s="253" t="s">
        <v>1811</v>
      </c>
      <c r="I17" s="235" t="s">
        <v>1812</v>
      </c>
      <c r="J17" s="2745">
        <f ca="1">ROUND(IF(AND(项目基本情况!B7="自然人",项目基本情况!B6="北京市"),J6*M17/(1+'数据-取费表'!F30),J18+J19+J20),0)</f>
        <v>8675</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10577</v>
      </c>
      <c r="D18" s="235" t="s">
        <v>1799</v>
      </c>
      <c r="E18" s="235" t="s">
        <v>1800</v>
      </c>
      <c r="F18" s="258">
        <f>'数据-取费表'!E24</f>
        <v>1.4999999999999999E-2</v>
      </c>
      <c r="G18" s="909"/>
      <c r="H18" s="253" t="s">
        <v>1817</v>
      </c>
      <c r="I18" s="235" t="s">
        <v>1818</v>
      </c>
      <c r="J18" s="13">
        <f>IF(项目基本情况!B7="自然人","——",ROUND(J6*M18/(1+'数据-取费表'!F30),0))</f>
        <v>0</v>
      </c>
      <c r="K18" s="1259" t="s">
        <v>2486</v>
      </c>
      <c r="L18" s="235" t="s">
        <v>1800</v>
      </c>
      <c r="M18" s="258">
        <f>'数据-取费表'!E29</f>
        <v>5.6000000000000001E-2</v>
      </c>
    </row>
    <row r="19" spans="1:37" s="257" customFormat="1" ht="18" customHeight="1">
      <c r="A19" s="253" t="s">
        <v>1811</v>
      </c>
      <c r="B19" s="235" t="s">
        <v>1819</v>
      </c>
      <c r="C19" s="13">
        <f>SUM(C14:C18)</f>
        <v>772150</v>
      </c>
      <c r="D19" s="33" t="s">
        <v>1820</v>
      </c>
      <c r="E19" s="1261"/>
      <c r="F19" s="15"/>
      <c r="G19" s="910"/>
      <c r="H19" s="253" t="s">
        <v>1797</v>
      </c>
      <c r="I19" s="235" t="s">
        <v>1821</v>
      </c>
      <c r="J19" s="13">
        <f ca="1">IF(项目基本情况!B7="自然人","——",IF(K19="按租金收入计税",ROUND(J6*M19/(1+'数据-取费表'!F30),0),ROUND(C29*M19*0.7,0)))</f>
        <v>8545</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15443</v>
      </c>
      <c r="D20" s="259" t="s">
        <v>1824</v>
      </c>
      <c r="E20" s="235" t="s">
        <v>1825</v>
      </c>
      <c r="F20" s="258">
        <f>'数据-取费表'!E25</f>
        <v>0.02</v>
      </c>
      <c r="G20" s="910"/>
      <c r="H20" s="253" t="s">
        <v>1803</v>
      </c>
      <c r="I20" s="36" t="s">
        <v>1826</v>
      </c>
      <c r="J20" s="14">
        <f>IF(项目基本情况!B7="自然人","——",ROUND(M20*M21,0))</f>
        <v>130</v>
      </c>
      <c r="K20" s="261" t="s">
        <v>1827</v>
      </c>
      <c r="L20" s="235" t="s">
        <v>1828</v>
      </c>
      <c r="M20" s="262">
        <f>'数据-取费表'!E40</f>
        <v>3</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43.2</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10172</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33079</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-18847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118139</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1017240</v>
      </c>
      <c r="D29" s="1034"/>
      <c r="E29" s="1032"/>
      <c r="F29" s="1035"/>
      <c r="G29" s="652"/>
      <c r="H29" s="271" t="s">
        <v>24</v>
      </c>
      <c r="I29" s="272" t="s">
        <v>1869</v>
      </c>
      <c r="J29" s="273">
        <f ca="1">ROUND(J26/(1+F40)^F41,0)</f>
        <v>0</v>
      </c>
      <c r="K29" s="274" t="s">
        <v>1870</v>
      </c>
      <c r="L29" s="275"/>
      <c r="M29" s="276">
        <f>IF(D1="仅计算典型户型",'数据-取费表'!E5,'数据-取费表'!B5)</f>
        <v>176.29</v>
      </c>
    </row>
    <row r="30" spans="1:37" ht="18" customHeight="1" thickTop="1">
      <c r="A30" s="1021" t="s">
        <v>14</v>
      </c>
      <c r="B30" s="1022" t="s">
        <v>1871</v>
      </c>
      <c r="C30" s="243">
        <f ca="1">ROUND(C31+C36+C37+C38,0)</f>
        <v>76256</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58373</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18532</v>
      </c>
      <c r="D32" s="1259" t="s">
        <v>2485</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39711</v>
      </c>
      <c r="D33" s="1364" t="s">
        <v>2643</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130</v>
      </c>
      <c r="D34" s="261" t="s">
        <v>1827</v>
      </c>
      <c r="E34" s="235" t="s">
        <v>1828</v>
      </c>
      <c r="F34" s="262">
        <f>'数据-取费表'!E40</f>
        <v>3</v>
      </c>
      <c r="G34" s="652"/>
      <c r="H34" s="889"/>
      <c r="I34" s="280" t="s">
        <v>1878</v>
      </c>
      <c r="J34" s="281">
        <f ca="1">ROUND(C13*J35,0)</f>
        <v>52693</v>
      </c>
      <c r="K34" s="903"/>
      <c r="L34" s="904"/>
      <c r="M34" s="904"/>
    </row>
    <row r="35" spans="1:18" ht="24.6" customHeight="1">
      <c r="A35" s="1019"/>
      <c r="B35" s="244"/>
      <c r="C35" s="17"/>
      <c r="D35" s="264"/>
      <c r="E35" s="235" t="s">
        <v>1833</v>
      </c>
      <c r="F35" s="236">
        <f>IF(D1="仅计算典型户型",'数据-取费表'!E6,'数据-取费表'!B6)</f>
        <v>43.2</v>
      </c>
      <c r="G35" s="652" t="s">
        <v>2573</v>
      </c>
      <c r="H35" s="889"/>
      <c r="I35" s="282" t="s">
        <v>1879</v>
      </c>
      <c r="J35" s="283">
        <f>'数据-取费表'!B18</f>
        <v>7.0000000000000007E-2</v>
      </c>
      <c r="K35" s="902"/>
      <c r="L35" s="901"/>
      <c r="M35" s="901"/>
    </row>
    <row r="36" spans="1:18" ht="18" customHeight="1">
      <c r="A36" s="1018" t="s">
        <v>1781</v>
      </c>
      <c r="B36" s="235" t="s">
        <v>1880</v>
      </c>
      <c r="C36" s="13">
        <f ca="1">ROUND(C29*F36,0)</f>
        <v>10172</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753</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6958</v>
      </c>
      <c r="D38" s="1034" t="s">
        <v>1846</v>
      </c>
      <c r="E38" s="1032" t="s">
        <v>1842</v>
      </c>
      <c r="F38" s="1027">
        <f>'数据-取费表'!B47</f>
        <v>0.02</v>
      </c>
      <c r="G38" s="652"/>
      <c r="H38" s="901"/>
      <c r="I38" s="280" t="s">
        <v>1884</v>
      </c>
      <c r="J38" s="136">
        <f ca="1">ROUND(J34/C39,3)</f>
        <v>0.19400000000000001</v>
      </c>
      <c r="K38" s="906"/>
      <c r="L38" s="901"/>
      <c r="M38" s="901"/>
    </row>
    <row r="39" spans="1:18" ht="18" customHeight="1" thickTop="1">
      <c r="A39" s="1021" t="s">
        <v>22</v>
      </c>
      <c r="B39" s="1036" t="s">
        <v>1885</v>
      </c>
      <c r="C39" s="243">
        <f ca="1">C5-C30</f>
        <v>271646</v>
      </c>
      <c r="D39" s="1037" t="s">
        <v>1886</v>
      </c>
      <c r="E39" s="1038"/>
      <c r="F39" s="1039"/>
      <c r="G39" s="652"/>
      <c r="H39" s="901"/>
      <c r="I39" s="280" t="s">
        <v>1887</v>
      </c>
      <c r="J39" s="136">
        <f ca="1">1-J38</f>
        <v>0.80600000000000005</v>
      </c>
      <c r="K39" s="906"/>
      <c r="L39" s="901"/>
      <c r="M39" s="901"/>
    </row>
    <row r="40" spans="1:18" s="652" customFormat="1" ht="18" customHeight="1">
      <c r="A40" s="232" t="s">
        <v>23</v>
      </c>
      <c r="B40" s="233" t="s">
        <v>1888</v>
      </c>
      <c r="C40" s="234">
        <f ca="1">ROUND(C39*(1-((1+F42)/(1+F40))^F41)/(F40-F42),0)</f>
        <v>5574005</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2468</v>
      </c>
      <c r="F41" s="270">
        <f>IF('数据-取费表'!B29="租赁期内按合同租金",'数据-取费表'!B35,IF(E41="收益年期(n)",'数据-取费表'!B34,'数据-取费表'!B13))</f>
        <v>30</v>
      </c>
      <c r="H41" s="908"/>
      <c r="I41" s="135" t="s">
        <v>1762</v>
      </c>
      <c r="J41" s="136">
        <f ca="1">ROUND(C13/C40,3)</f>
        <v>0.13500000000000001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0.86499999999999999</v>
      </c>
      <c r="K42" s="905"/>
      <c r="L42" s="908"/>
      <c r="M42" s="908"/>
      <c r="Q42" s="656"/>
    </row>
    <row r="43" spans="1:18" s="652" customFormat="1" ht="18" customHeight="1" thickBot="1">
      <c r="A43" s="271" t="s">
        <v>24</v>
      </c>
      <c r="B43" s="272" t="s">
        <v>1891</v>
      </c>
      <c r="C43" s="273">
        <f ca="1">ROUND(C40/F43,0)</f>
        <v>31618</v>
      </c>
      <c r="D43" s="274" t="s">
        <v>1892</v>
      </c>
      <c r="E43" s="275" t="s">
        <v>1893</v>
      </c>
      <c r="F43" s="276">
        <f>IF(D1="仅计算典型户型",'数据-取费表'!E5,'数据-取费表'!B5)</f>
        <v>176.29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5574005</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-698</v>
      </c>
      <c r="D47" s="1456" t="str">
        <f>C2</f>
        <v>万元</v>
      </c>
      <c r="E47" s="649"/>
      <c r="F47" s="649"/>
      <c r="I47" s="1457" t="s">
        <v>1904</v>
      </c>
      <c r="J47" s="981"/>
      <c r="K47" s="982"/>
      <c r="L47" s="995" t="str">
        <f>IF(M48="住宅",0,IF(L49&gt;J52,L61,J61))</f>
        <v>0</v>
      </c>
      <c r="O47" s="1009" t="s">
        <v>769</v>
      </c>
      <c r="P47" s="1006" t="s">
        <v>1905</v>
      </c>
      <c r="Q47" s="1007">
        <f ca="1">C29</f>
        <v>1017240</v>
      </c>
      <c r="R47" s="1008" t="s">
        <v>1900</v>
      </c>
    </row>
    <row r="48" spans="1:18" s="652" customFormat="1" ht="15.75" thickBot="1">
      <c r="A48" s="228" t="s">
        <v>1906</v>
      </c>
      <c r="B48" s="229" t="s">
        <v>1907</v>
      </c>
      <c r="C48" s="229" t="s">
        <v>1908</v>
      </c>
      <c r="D48" s="229" t="s">
        <v>1909</v>
      </c>
      <c r="E48" s="944" t="s">
        <v>1910</v>
      </c>
      <c r="F48" s="945"/>
      <c r="I48" s="1458" t="s">
        <v>1911</v>
      </c>
      <c r="J48" s="1459" t="s">
        <v>3046</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3047</v>
      </c>
      <c r="K49" s="1463" t="s">
        <v>1916</v>
      </c>
      <c r="L49" s="821">
        <f>'数据-取费表'!B13</f>
        <v>30</v>
      </c>
      <c r="O49" s="1009" t="s">
        <v>771</v>
      </c>
      <c r="P49" s="1006" t="s">
        <v>1917</v>
      </c>
      <c r="Q49" s="1010">
        <f>J53</f>
        <v>7.4999999999999997E-2</v>
      </c>
      <c r="R49" s="1008"/>
    </row>
    <row r="50" spans="1:18" s="652" customFormat="1" ht="15.75" thickBot="1">
      <c r="A50" s="260" t="s">
        <v>1774</v>
      </c>
      <c r="B50" s="1370" t="s">
        <v>1918</v>
      </c>
      <c r="C50" s="234">
        <f>ROUND(F50*F52*F51*(1-F53),0)</f>
        <v>0</v>
      </c>
      <c r="D50" s="42" t="s">
        <v>2461</v>
      </c>
      <c r="E50" s="1464" t="s">
        <v>1919</v>
      </c>
      <c r="F50" s="946"/>
      <c r="I50" s="1461" t="s">
        <v>1920</v>
      </c>
      <c r="J50" s="821">
        <f>'数据-取费表'!B27</f>
        <v>2003</v>
      </c>
      <c r="K50" s="1465" t="s">
        <v>1921</v>
      </c>
      <c r="L50" s="984"/>
      <c r="O50" s="1009" t="s">
        <v>772</v>
      </c>
      <c r="P50" s="1006" t="s">
        <v>1922</v>
      </c>
      <c r="Q50" s="1007">
        <f>J54</f>
        <v>30</v>
      </c>
      <c r="R50" s="1008" t="s">
        <v>1923</v>
      </c>
    </row>
    <row r="51" spans="1:18" s="652" customFormat="1" ht="15.75" thickBot="1">
      <c r="A51" s="237"/>
      <c r="B51" s="238"/>
      <c r="C51" s="239"/>
      <c r="D51" s="240"/>
      <c r="E51" s="255" t="s">
        <v>1777</v>
      </c>
      <c r="F51" s="943">
        <f>F7</f>
        <v>176.29</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557</v>
      </c>
      <c r="R51" s="1008" t="s">
        <v>774</v>
      </c>
    </row>
    <row r="52" spans="1:18" s="652" customFormat="1" ht="16.5" thickBot="1">
      <c r="A52" s="237"/>
      <c r="B52" s="238"/>
      <c r="C52" s="239"/>
      <c r="D52" s="240"/>
      <c r="E52" s="235" t="s">
        <v>1779</v>
      </c>
      <c r="F52" s="236">
        <f>F8</f>
        <v>365</v>
      </c>
      <c r="I52" s="1466" t="s">
        <v>1926</v>
      </c>
      <c r="J52" s="986">
        <f>IF(J50="",J51,J50+J51-YEAR('数据-取费表'!B2))</f>
        <v>41</v>
      </c>
      <c r="K52" s="1467" t="s">
        <v>1927</v>
      </c>
      <c r="L52" s="987">
        <f ca="1">ROUND(-PV('数据-取费表'!B15,J52,(C40-C13*J35)),0)</f>
        <v>95487600</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2466</v>
      </c>
      <c r="E54" s="246" t="s">
        <v>1783</v>
      </c>
      <c r="F54" s="1451"/>
      <c r="I54" s="1557" t="s">
        <v>2469</v>
      </c>
      <c r="J54" s="989">
        <f>IF(M48="住宅",IF(E1="——",MAX(J52,L49),MAX(J52,L49-'数据-取费表'!B26)),IF(E1="——",MIN(J52,L49),MIN(J52,L49-'数据-取费表'!B26)))</f>
        <v>30</v>
      </c>
      <c r="K54" s="3606" t="s">
        <v>2459</v>
      </c>
      <c r="L54" s="3607"/>
      <c r="O54" s="1005" t="s">
        <v>767</v>
      </c>
      <c r="P54" s="1006" t="s">
        <v>1899</v>
      </c>
      <c r="Q54" s="1007">
        <f ca="1">C40+J29</f>
        <v>5574005</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752758</v>
      </c>
      <c r="D57" s="941"/>
      <c r="E57" s="942"/>
      <c r="F57" s="949"/>
      <c r="I57" s="1475" t="s">
        <v>1936</v>
      </c>
      <c r="J57" s="993" t="s">
        <v>3044</v>
      </c>
      <c r="K57" s="1461" t="s">
        <v>1937</v>
      </c>
      <c r="L57" s="821" t="str">
        <f>IF(L49&lt;J52,"——",L49-J52)</f>
        <v>——</v>
      </c>
      <c r="O57" s="1009" t="s">
        <v>770</v>
      </c>
      <c r="P57" s="1006" t="s">
        <v>1938</v>
      </c>
      <c r="Q57" s="1010">
        <f>L53</f>
        <v>0</v>
      </c>
      <c r="R57" s="1008"/>
    </row>
    <row r="58" spans="1:18" s="652" customFormat="1" ht="29.25" thickBot="1">
      <c r="A58" s="948"/>
      <c r="B58" s="235" t="s">
        <v>1868</v>
      </c>
      <c r="C58" s="104">
        <f ca="1">C29</f>
        <v>1017240</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96503</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85578</v>
      </c>
      <c r="D60" s="1256" t="s">
        <v>1873</v>
      </c>
      <c r="E60" s="1259" t="s">
        <v>1874</v>
      </c>
      <c r="F60" s="2744"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557</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85448</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130</v>
      </c>
      <c r="D63" s="261" t="s">
        <v>1952</v>
      </c>
      <c r="E63" s="235" t="s">
        <v>1953</v>
      </c>
      <c r="F63" s="262">
        <f t="shared" si="0"/>
        <v>3</v>
      </c>
      <c r="I63" s="1479" t="s">
        <v>1954</v>
      </c>
      <c r="J63" s="1251" t="s">
        <v>1955</v>
      </c>
      <c r="K63" s="1251" t="s">
        <v>1956</v>
      </c>
      <c r="L63" s="1251" t="s">
        <v>1957</v>
      </c>
      <c r="M63" s="1250" t="s">
        <v>1958</v>
      </c>
      <c r="O63" s="1005" t="s">
        <v>767</v>
      </c>
      <c r="P63" s="1006" t="s">
        <v>1899</v>
      </c>
      <c r="Q63" s="1007">
        <f ca="1">C40+J29</f>
        <v>5574005</v>
      </c>
      <c r="R63" s="1008" t="s">
        <v>1900</v>
      </c>
    </row>
    <row r="64" spans="1:18" s="652" customFormat="1" ht="20.25" thickBot="1">
      <c r="A64" s="263"/>
      <c r="B64" s="244"/>
      <c r="C64" s="17"/>
      <c r="D64" s="264"/>
      <c r="E64" s="235" t="s">
        <v>1959</v>
      </c>
      <c r="F64" s="236">
        <f t="shared" si="0"/>
        <v>43.2</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10172</v>
      </c>
      <c r="D65" s="1259" t="s">
        <v>1881</v>
      </c>
      <c r="E65" s="235" t="s">
        <v>1825</v>
      </c>
      <c r="F65" s="265">
        <f t="shared" si="0"/>
        <v>0.01</v>
      </c>
      <c r="I65" s="1479" t="s">
        <v>1961</v>
      </c>
      <c r="J65" s="1251">
        <v>50</v>
      </c>
      <c r="K65" s="1251">
        <v>35</v>
      </c>
      <c r="L65" s="1251">
        <v>60</v>
      </c>
      <c r="M65" s="1250">
        <v>0</v>
      </c>
      <c r="O65" s="1009" t="s">
        <v>769</v>
      </c>
      <c r="P65" s="1006" t="s">
        <v>1935</v>
      </c>
      <c r="Q65" s="1011">
        <f ca="1">L52</f>
        <v>95487600</v>
      </c>
      <c r="R65" s="1012" t="s">
        <v>1962</v>
      </c>
    </row>
    <row r="66" spans="1:18" s="652" customFormat="1" ht="20.25" thickBot="1">
      <c r="A66" s="253" t="s">
        <v>20</v>
      </c>
      <c r="B66" s="235" t="s">
        <v>1840</v>
      </c>
      <c r="C66" s="13">
        <f ca="1">ROUND(C57*F66,0)</f>
        <v>753</v>
      </c>
      <c r="D66" s="1259" t="s">
        <v>1841</v>
      </c>
      <c r="E66" s="235" t="s">
        <v>1842</v>
      </c>
      <c r="F66" s="266">
        <f t="shared" si="0"/>
        <v>1E-3</v>
      </c>
      <c r="I66" s="1479" t="s">
        <v>1963</v>
      </c>
      <c r="J66" s="1251">
        <v>40</v>
      </c>
      <c r="K66" s="1251">
        <v>30</v>
      </c>
      <c r="L66" s="1251">
        <v>50</v>
      </c>
      <c r="M66" s="1249">
        <v>0.02</v>
      </c>
      <c r="O66" s="1009" t="s">
        <v>770</v>
      </c>
      <c r="P66" s="1013" t="s">
        <v>1964</v>
      </c>
      <c r="Q66" s="1007">
        <f ca="1">ROUND(Q67-Q68*Q69,0)</f>
        <v>218953</v>
      </c>
      <c r="R66" s="1008"/>
    </row>
    <row r="67" spans="1:18" s="652" customFormat="1" ht="15.75" thickBot="1">
      <c r="A67" s="253" t="s">
        <v>21</v>
      </c>
      <c r="B67" s="235" t="s">
        <v>1823</v>
      </c>
      <c r="C67" s="13">
        <f ca="1">ROUND(C49*F67,0)</f>
        <v>0</v>
      </c>
      <c r="D67" s="1259" t="s">
        <v>1846</v>
      </c>
      <c r="E67" s="235" t="s">
        <v>1842</v>
      </c>
      <c r="F67" s="245">
        <f t="shared" si="0"/>
        <v>0.02</v>
      </c>
      <c r="O67" s="1009" t="s">
        <v>775</v>
      </c>
      <c r="P67" s="1013" t="s">
        <v>1965</v>
      </c>
      <c r="Q67" s="1007">
        <f ca="1">C39</f>
        <v>271646</v>
      </c>
      <c r="R67" s="1008" t="s">
        <v>1900</v>
      </c>
    </row>
    <row r="68" spans="1:18" ht="15.75" thickBot="1">
      <c r="A68" s="248" t="s">
        <v>22</v>
      </c>
      <c r="B68" s="41" t="s">
        <v>1850</v>
      </c>
      <c r="C68" s="250">
        <f ca="1">C49-C59</f>
        <v>-96503</v>
      </c>
      <c r="D68" s="1256" t="s">
        <v>1851</v>
      </c>
      <c r="E68" s="1258"/>
      <c r="F68" s="268"/>
      <c r="H68" s="652"/>
      <c r="I68" s="652"/>
      <c r="J68" s="652"/>
      <c r="K68" s="652"/>
      <c r="L68" s="652"/>
      <c r="M68" s="652"/>
      <c r="O68" s="1009" t="s">
        <v>776</v>
      </c>
      <c r="P68" s="1013" t="s">
        <v>1966</v>
      </c>
      <c r="Q68" s="1007">
        <f ca="1">C13</f>
        <v>752758</v>
      </c>
      <c r="R68" s="1008" t="s">
        <v>1900</v>
      </c>
    </row>
    <row r="69" spans="1:18" ht="15.75" thickBot="1">
      <c r="A69" s="232" t="s">
        <v>23</v>
      </c>
      <c r="B69" s="233" t="s">
        <v>1888</v>
      </c>
      <c r="C69" s="234">
        <f ca="1">ROUND(C68*(1-((1+F71)/(1+F69))^F70)/(F69-F71),0)</f>
        <v>-1402550</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30</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-7956</v>
      </c>
      <c r="D72" s="274" t="s">
        <v>1892</v>
      </c>
      <c r="E72" s="275" t="s">
        <v>1893</v>
      </c>
      <c r="F72" s="276">
        <f>F43</f>
        <v>176.29</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557</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2793</v>
      </c>
      <c r="B1" s="3082"/>
      <c r="C1" s="3088"/>
      <c r="D1" s="3088"/>
      <c r="E1" s="3083"/>
      <c r="F1" s="3084"/>
      <c r="G1" s="3177"/>
      <c r="J1" s="3180" t="s">
        <v>2649</v>
      </c>
      <c r="K1" s="3181"/>
      <c r="L1" s="3181"/>
      <c r="M1" s="3181"/>
      <c r="N1" s="3181"/>
      <c r="O1" s="3181"/>
      <c r="P1" s="3181"/>
      <c r="Q1" s="3181"/>
      <c r="R1" s="3182"/>
      <c r="S1" s="3183"/>
      <c r="T1" s="3183"/>
      <c r="U1" s="3183"/>
    </row>
    <row r="2" spans="1:23" s="3091" customFormat="1" ht="13.15" customHeight="1">
      <c r="A2" s="3086" t="s">
        <v>2650</v>
      </c>
      <c r="B2" s="3087" t="e">
        <f>C40</f>
        <v>#DIV/0!</v>
      </c>
      <c r="C2" s="3088" t="s">
        <v>2651</v>
      </c>
      <c r="D2" s="3088"/>
      <c r="E2" s="3089"/>
      <c r="F2" s="3090"/>
      <c r="G2" s="3184"/>
      <c r="H2" s="3185"/>
      <c r="I2" s="3186"/>
      <c r="J2" s="3614" t="s">
        <v>2652</v>
      </c>
      <c r="K2" s="3615"/>
      <c r="L2" s="3187" t="s">
        <v>2653</v>
      </c>
      <c r="M2" s="3187" t="s">
        <v>2654</v>
      </c>
      <c r="N2" s="3187" t="s">
        <v>2655</v>
      </c>
      <c r="O2" s="3187" t="s">
        <v>2656</v>
      </c>
      <c r="P2" s="3187" t="s">
        <v>2657</v>
      </c>
      <c r="Q2" s="3188" t="s">
        <v>2658</v>
      </c>
      <c r="R2" s="3189" t="s">
        <v>2659</v>
      </c>
      <c r="S2" s="3183"/>
      <c r="T2" s="3183"/>
      <c r="U2" s="3183"/>
      <c r="V2" s="3186"/>
      <c r="W2" s="3185"/>
    </row>
    <row r="3" spans="1:23" s="3091" customFormat="1" ht="13.15" customHeight="1">
      <c r="A3" s="3093" t="s">
        <v>2660</v>
      </c>
      <c r="B3" s="3094" t="e">
        <f>ROUND(B2*10000/B4,0)</f>
        <v>#DIV/0!</v>
      </c>
      <c r="C3" s="3088" t="s">
        <v>2661</v>
      </c>
      <c r="D3" s="3088"/>
      <c r="E3" s="3089"/>
      <c r="F3" s="3090"/>
      <c r="G3" s="3184"/>
      <c r="H3" s="3185"/>
      <c r="I3" s="3186"/>
      <c r="J3" s="3616" t="s">
        <v>2662</v>
      </c>
      <c r="K3" s="3617"/>
      <c r="L3" s="3190"/>
      <c r="M3" s="3190"/>
      <c r="N3" s="3190"/>
      <c r="O3" s="3190"/>
      <c r="P3" s="3190"/>
      <c r="Q3" s="3191"/>
      <c r="R3" s="3192">
        <f>SUM(L3:Q3)</f>
        <v>0</v>
      </c>
      <c r="S3" s="3183"/>
      <c r="T3" s="3183"/>
      <c r="U3" s="3183"/>
      <c r="V3" s="3186"/>
      <c r="W3" s="3185"/>
    </row>
    <row r="4" spans="1:23" s="3091" customFormat="1" ht="13.15" customHeight="1">
      <c r="A4" s="3095" t="s">
        <v>2663</v>
      </c>
      <c r="B4" s="3152"/>
      <c r="C4" s="3088"/>
      <c r="D4" s="3088"/>
      <c r="E4" s="3089"/>
      <c r="F4" s="3090"/>
      <c r="G4" s="3184"/>
      <c r="H4" s="3185"/>
      <c r="I4" s="3186"/>
      <c r="J4" s="3616" t="s">
        <v>2664</v>
      </c>
      <c r="K4" s="3617"/>
      <c r="L4" s="3193"/>
      <c r="M4" s="3193"/>
      <c r="N4" s="3193"/>
      <c r="O4" s="3193"/>
      <c r="P4" s="3193"/>
      <c r="Q4" s="3194"/>
      <c r="R4" s="3195">
        <f>SUM(L4:Q4)</f>
        <v>0</v>
      </c>
      <c r="S4" s="3183"/>
      <c r="T4" s="3183"/>
      <c r="U4" s="3183"/>
      <c r="V4" s="3186"/>
      <c r="W4" s="3185"/>
    </row>
    <row r="5" spans="1:23" s="3091" customFormat="1" ht="13.15" customHeight="1" thickBot="1">
      <c r="A5" s="3096" t="s">
        <v>2665</v>
      </c>
      <c r="B5" s="3153"/>
      <c r="C5" s="3088"/>
      <c r="D5" s="3097"/>
      <c r="E5" s="3090"/>
      <c r="F5" s="3090"/>
      <c r="G5" s="3184"/>
      <c r="H5" s="3185"/>
      <c r="I5" s="3186"/>
      <c r="J5" s="3196" t="s">
        <v>2666</v>
      </c>
      <c r="K5" s="3197"/>
      <c r="L5" s="3197"/>
      <c r="M5" s="3198"/>
      <c r="N5" s="3198"/>
      <c r="O5" s="3198"/>
      <c r="P5" s="3198"/>
      <c r="Q5" s="3198"/>
      <c r="R5" s="3189">
        <f>SUM(R14,R19,R24,R25,R27,R28)</f>
        <v>0</v>
      </c>
      <c r="S5" s="3183"/>
      <c r="T5" s="3183" t="s">
        <v>2667</v>
      </c>
      <c r="U5" s="3183" t="e">
        <f>ROUND(R5*10000/365/R3,1)</f>
        <v>#DIV/0!</v>
      </c>
      <c r="V5" s="3186"/>
      <c r="W5" s="3185"/>
    </row>
    <row r="6" spans="1:23" s="3091" customFormat="1" ht="13.15" customHeight="1" thickBot="1">
      <c r="A6" s="3622" t="s">
        <v>2668</v>
      </c>
      <c r="B6" s="3623"/>
      <c r="C6" s="3624"/>
      <c r="D6" s="3154"/>
      <c r="E6" s="3098"/>
      <c r="F6" s="3099"/>
      <c r="G6" s="3199"/>
      <c r="H6" s="3185"/>
      <c r="I6" s="3186"/>
      <c r="J6" s="3608">
        <v>1</v>
      </c>
      <c r="K6" s="3609" t="s">
        <v>2669</v>
      </c>
      <c r="L6" s="3200" t="s">
        <v>2670</v>
      </c>
      <c r="M6" s="3201" t="s">
        <v>2671</v>
      </c>
      <c r="N6" s="3201" t="s">
        <v>2672</v>
      </c>
      <c r="O6" s="3201" t="s">
        <v>2673</v>
      </c>
      <c r="P6" s="3201" t="s">
        <v>2674</v>
      </c>
      <c r="Q6" s="3201" t="s">
        <v>2675</v>
      </c>
      <c r="R6" s="3192" t="s">
        <v>2676</v>
      </c>
      <c r="S6" s="3183"/>
      <c r="T6" s="3183" t="s">
        <v>2677</v>
      </c>
      <c r="U6" s="3183"/>
      <c r="V6" s="3186"/>
      <c r="W6" s="3185"/>
    </row>
    <row r="7" spans="1:23" s="3091" customFormat="1" ht="13.15" customHeight="1">
      <c r="A7" s="3101" t="s">
        <v>2678</v>
      </c>
      <c r="B7" s="3102"/>
      <c r="C7" s="3103"/>
      <c r="D7" s="3104">
        <f>SUM(D9,D10,D11,D17,0)</f>
        <v>0</v>
      </c>
      <c r="E7" s="3105" t="e">
        <f>E9+E10+E11+E17</f>
        <v>#DIV/0!</v>
      </c>
      <c r="F7" s="3106"/>
      <c r="G7" s="3202"/>
      <c r="H7" s="3185"/>
      <c r="I7" s="3186"/>
      <c r="J7" s="3608"/>
      <c r="K7" s="3610"/>
      <c r="L7" s="3203" t="s">
        <v>2778</v>
      </c>
      <c r="M7" s="3204"/>
      <c r="N7" s="3204"/>
      <c r="O7" s="3205"/>
      <c r="P7" s="3205"/>
      <c r="Q7" s="3206">
        <v>365</v>
      </c>
      <c r="R7" s="3207">
        <f>ROUND(M7*N7*O7*P7*Q7/10000,0)</f>
        <v>0</v>
      </c>
      <c r="S7" s="3183"/>
      <c r="T7" s="3183" t="s">
        <v>2679</v>
      </c>
      <c r="U7" s="3183"/>
      <c r="V7" s="3186"/>
      <c r="W7" s="3185"/>
    </row>
    <row r="8" spans="1:23" s="3091" customFormat="1" ht="13.15" customHeight="1">
      <c r="A8" s="3107" t="s">
        <v>2680</v>
      </c>
      <c r="B8" s="3625" t="s">
        <v>2681</v>
      </c>
      <c r="C8" s="3626"/>
      <c r="D8" s="3108" t="s">
        <v>2682</v>
      </c>
      <c r="E8" s="3109" t="s">
        <v>2683</v>
      </c>
      <c r="F8" s="3092" t="s">
        <v>2684</v>
      </c>
      <c r="G8" s="3262" t="s">
        <v>2792</v>
      </c>
      <c r="H8" s="3185"/>
      <c r="I8" s="3186"/>
      <c r="J8" s="3608"/>
      <c r="K8" s="3610"/>
      <c r="L8" s="3203" t="s">
        <v>2779</v>
      </c>
      <c r="M8" s="3204"/>
      <c r="N8" s="3204"/>
      <c r="O8" s="3205"/>
      <c r="P8" s="3205"/>
      <c r="Q8" s="3206">
        <v>365</v>
      </c>
      <c r="R8" s="3207">
        <f t="shared" ref="R8:R13" si="0">ROUND(M8*N8*O8*P8*Q8/10000,0)</f>
        <v>0</v>
      </c>
      <c r="S8" s="3183"/>
      <c r="T8" s="3183" t="s">
        <v>2685</v>
      </c>
      <c r="U8" s="3183"/>
      <c r="V8" s="3186"/>
      <c r="W8" s="3185"/>
    </row>
    <row r="9" spans="1:23" s="3091" customFormat="1" ht="13.15" customHeight="1">
      <c r="A9" s="3107">
        <v>1</v>
      </c>
      <c r="B9" s="3625" t="s">
        <v>2686</v>
      </c>
      <c r="C9" s="3626"/>
      <c r="D9" s="3108">
        <f>ROUND(D6*E9,0)</f>
        <v>0</v>
      </c>
      <c r="E9" s="3155"/>
      <c r="F9" s="3110" t="s">
        <v>2687</v>
      </c>
      <c r="G9" s="3208" t="s">
        <v>2790</v>
      </c>
      <c r="H9" s="3185"/>
      <c r="I9" s="3186"/>
      <c r="J9" s="3608"/>
      <c r="K9" s="3610"/>
      <c r="L9" s="3203" t="s">
        <v>2780</v>
      </c>
      <c r="M9" s="3204"/>
      <c r="N9" s="3204"/>
      <c r="O9" s="3205"/>
      <c r="P9" s="3205"/>
      <c r="Q9" s="3206">
        <v>365</v>
      </c>
      <c r="R9" s="3207">
        <f t="shared" si="0"/>
        <v>0</v>
      </c>
      <c r="S9" s="3183"/>
      <c r="T9" s="3183"/>
      <c r="U9" s="3183"/>
      <c r="V9" s="3186"/>
      <c r="W9" s="3185"/>
    </row>
    <row r="10" spans="1:23" s="3091" customFormat="1" ht="13.15" customHeight="1">
      <c r="A10" s="3107">
        <v>2</v>
      </c>
      <c r="B10" s="3625" t="s">
        <v>2688</v>
      </c>
      <c r="C10" s="3626"/>
      <c r="D10" s="3108">
        <f>ROUND(D6*E10,0)</f>
        <v>0</v>
      </c>
      <c r="E10" s="3155"/>
      <c r="F10" s="3110" t="s">
        <v>2689</v>
      </c>
      <c r="G10" s="3208" t="s">
        <v>2791</v>
      </c>
      <c r="H10" s="3185"/>
      <c r="I10" s="3186"/>
      <c r="J10" s="3608"/>
      <c r="K10" s="3610"/>
      <c r="L10" s="3203" t="s">
        <v>2781</v>
      </c>
      <c r="M10" s="3204"/>
      <c r="N10" s="3204"/>
      <c r="O10" s="3205"/>
      <c r="P10" s="3205"/>
      <c r="Q10" s="3206">
        <v>365</v>
      </c>
      <c r="R10" s="3207">
        <f t="shared" si="0"/>
        <v>0</v>
      </c>
      <c r="S10" s="3183"/>
      <c r="T10" s="3183"/>
      <c r="U10" s="3183"/>
      <c r="V10" s="3186"/>
      <c r="W10" s="3185"/>
    </row>
    <row r="11" spans="1:23" s="3091" customFormat="1" ht="13.15" customHeight="1">
      <c r="A11" s="3107">
        <v>3</v>
      </c>
      <c r="B11" s="3625" t="s">
        <v>2690</v>
      </c>
      <c r="C11" s="3626"/>
      <c r="D11" s="3108">
        <f>D12+D14+D15+D16</f>
        <v>0</v>
      </c>
      <c r="E11" s="3111" t="e">
        <f>D11/D6</f>
        <v>#DIV/0!</v>
      </c>
      <c r="F11" s="3092"/>
      <c r="G11" s="3208"/>
      <c r="H11" s="3185"/>
      <c r="I11" s="3186"/>
      <c r="J11" s="3608"/>
      <c r="K11" s="3610"/>
      <c r="L11" s="3203" t="s">
        <v>2782</v>
      </c>
      <c r="M11" s="3204"/>
      <c r="N11" s="3204"/>
      <c r="O11" s="3205"/>
      <c r="P11" s="3205"/>
      <c r="Q11" s="3206">
        <v>365</v>
      </c>
      <c r="R11" s="3207">
        <f t="shared" si="0"/>
        <v>0</v>
      </c>
      <c r="S11" s="3183"/>
      <c r="T11" s="3183"/>
      <c r="U11" s="3183"/>
      <c r="V11" s="3186"/>
      <c r="W11" s="3185"/>
    </row>
    <row r="12" spans="1:23" s="3091" customFormat="1" ht="13.15" customHeight="1">
      <c r="A12" s="3112" t="s">
        <v>2691</v>
      </c>
      <c r="B12" s="3618" t="s">
        <v>2692</v>
      </c>
      <c r="C12" s="3619"/>
      <c r="D12" s="3113">
        <f>ROUND(D13*1.2%*(1-30%),0)</f>
        <v>0</v>
      </c>
      <c r="E12" s="3114">
        <v>1.2E-2</v>
      </c>
      <c r="F12" s="3092" t="s">
        <v>2693</v>
      </c>
      <c r="G12" s="3208"/>
      <c r="H12" s="3185"/>
      <c r="I12" s="3186"/>
      <c r="J12" s="3608"/>
      <c r="K12" s="3610"/>
      <c r="L12" s="3203" t="s">
        <v>2783</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2694</v>
      </c>
      <c r="D13" s="3156"/>
      <c r="E13" s="3117"/>
      <c r="F13" s="3092"/>
      <c r="G13" s="3208"/>
      <c r="H13" s="3185"/>
      <c r="I13" s="3186"/>
      <c r="J13" s="3608"/>
      <c r="K13" s="3610"/>
      <c r="L13" s="3203" t="s">
        <v>2784</v>
      </c>
      <c r="M13" s="3204"/>
      <c r="N13" s="3204"/>
      <c r="O13" s="3205"/>
      <c r="P13" s="3205"/>
      <c r="Q13" s="3206">
        <v>365</v>
      </c>
      <c r="R13" s="3207">
        <f t="shared" si="0"/>
        <v>0</v>
      </c>
      <c r="S13" s="3183"/>
      <c r="T13" s="3183"/>
      <c r="U13" s="3183"/>
      <c r="V13" s="3186"/>
      <c r="W13" s="3185"/>
    </row>
    <row r="14" spans="1:23" s="3091" customFormat="1" ht="13.15" customHeight="1">
      <c r="A14" s="3112" t="s">
        <v>2695</v>
      </c>
      <c r="B14" s="3618" t="s">
        <v>2696</v>
      </c>
      <c r="C14" s="3619"/>
      <c r="D14" s="3113">
        <f>ROUND(E14*B5/10000,0)</f>
        <v>0</v>
      </c>
      <c r="E14" s="3157"/>
      <c r="F14" s="3092" t="s">
        <v>2697</v>
      </c>
      <c r="G14" s="3208"/>
      <c r="H14" s="3185"/>
      <c r="I14" s="3186"/>
      <c r="J14" s="3608"/>
      <c r="K14" s="3611"/>
      <c r="L14" s="3209" t="s">
        <v>2698</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2699</v>
      </c>
      <c r="B15" s="3618" t="s">
        <v>2700</v>
      </c>
      <c r="C15" s="3619"/>
      <c r="D15" s="3113">
        <f>ROUND(D6*E15,0)</f>
        <v>0</v>
      </c>
      <c r="E15" s="3114">
        <v>5.5E-2</v>
      </c>
      <c r="F15" s="3092" t="s">
        <v>2701</v>
      </c>
      <c r="G15" s="3208"/>
      <c r="H15" s="3185"/>
      <c r="I15" s="3186"/>
      <c r="J15" s="3608">
        <v>2</v>
      </c>
      <c r="K15" s="3609" t="s">
        <v>2702</v>
      </c>
      <c r="L15" s="3213" t="s">
        <v>2703</v>
      </c>
      <c r="M15" s="3214" t="s">
        <v>2704</v>
      </c>
      <c r="N15" s="3214" t="s">
        <v>2705</v>
      </c>
      <c r="O15" s="3215" t="s">
        <v>2706</v>
      </c>
      <c r="P15" s="3215" t="s">
        <v>2707</v>
      </c>
      <c r="Q15" s="3152" t="s">
        <v>2708</v>
      </c>
      <c r="R15" s="3216" t="s">
        <v>2709</v>
      </c>
      <c r="S15" s="3183"/>
      <c r="T15" s="3183"/>
      <c r="U15" s="3183"/>
      <c r="V15" s="3186"/>
      <c r="W15" s="3185"/>
    </row>
    <row r="16" spans="1:23" s="3091" customFormat="1" ht="13.15" customHeight="1">
      <c r="A16" s="3112" t="s">
        <v>2710</v>
      </c>
      <c r="B16" s="3618" t="s">
        <v>2711</v>
      </c>
      <c r="C16" s="3619"/>
      <c r="D16" s="3158">
        <f>D6*E16</f>
        <v>0</v>
      </c>
      <c r="E16" s="3159"/>
      <c r="F16" s="3110" t="s">
        <v>2712</v>
      </c>
      <c r="G16" s="3208"/>
      <c r="H16" s="3185"/>
      <c r="I16" s="3186"/>
      <c r="J16" s="3608"/>
      <c r="K16" s="3610"/>
      <c r="L16" s="3203" t="s">
        <v>2785</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20" t="s">
        <v>2713</v>
      </c>
      <c r="C17" s="3621"/>
      <c r="D17" s="3119">
        <f>ROUND(D6*E17,0)</f>
        <v>0</v>
      </c>
      <c r="E17" s="3160"/>
      <c r="F17" s="3120" t="s">
        <v>2714</v>
      </c>
      <c r="G17" s="3261">
        <v>0.1</v>
      </c>
      <c r="H17" s="3185"/>
      <c r="I17" s="3186"/>
      <c r="J17" s="3608"/>
      <c r="K17" s="3610"/>
      <c r="L17" s="3203" t="s">
        <v>2786</v>
      </c>
      <c r="M17" s="3204"/>
      <c r="N17" s="3204"/>
      <c r="O17" s="3205"/>
      <c r="P17" s="3206">
        <v>365</v>
      </c>
      <c r="Q17" s="3204"/>
      <c r="R17" s="3217">
        <f>ROUND(M17*N17*O17*P17/10000,0)</f>
        <v>0</v>
      </c>
      <c r="S17" s="3183"/>
      <c r="T17" s="3183"/>
      <c r="U17" s="3183"/>
      <c r="V17" s="3186"/>
      <c r="W17" s="3185"/>
    </row>
    <row r="18" spans="1:23" s="3091" customFormat="1" ht="13.15" customHeight="1" thickBot="1">
      <c r="A18" s="3101" t="s">
        <v>2715</v>
      </c>
      <c r="B18" s="3102"/>
      <c r="C18" s="3102"/>
      <c r="D18" s="3121">
        <f>ROUND(D6*E18,0)</f>
        <v>0</v>
      </c>
      <c r="E18" s="3161"/>
      <c r="F18" s="3122" t="s">
        <v>2716</v>
      </c>
      <c r="G18" s="3261">
        <v>0.05</v>
      </c>
      <c r="H18" s="3185"/>
      <c r="I18" s="3186"/>
      <c r="J18" s="3608"/>
      <c r="K18" s="3610"/>
      <c r="L18" s="3203" t="s">
        <v>2787</v>
      </c>
      <c r="M18" s="3204"/>
      <c r="N18" s="3204"/>
      <c r="O18" s="3205"/>
      <c r="P18" s="3206">
        <v>365</v>
      </c>
      <c r="Q18" s="3204"/>
      <c r="R18" s="3217">
        <f>ROUND(M18*N18*O18*P18/10000,0)</f>
        <v>0</v>
      </c>
      <c r="S18" s="3183"/>
      <c r="T18" s="3183"/>
      <c r="U18" s="3183"/>
      <c r="V18" s="3186"/>
      <c r="W18" s="3185"/>
    </row>
    <row r="19" spans="1:23" s="3091" customFormat="1" ht="13.15" customHeight="1" thickBot="1">
      <c r="A19" s="3123" t="s">
        <v>2717</v>
      </c>
      <c r="B19" s="3098"/>
      <c r="C19" s="3098"/>
      <c r="D19" s="3098"/>
      <c r="E19" s="3098"/>
      <c r="F19" s="3099"/>
      <c r="G19" s="3208"/>
      <c r="H19" s="3185"/>
      <c r="I19" s="3186"/>
      <c r="J19" s="3608"/>
      <c r="K19" s="3611"/>
      <c r="L19" s="3209" t="s">
        <v>2698</v>
      </c>
      <c r="M19" s="3210"/>
      <c r="N19" s="3210">
        <f>SUM(N16:N18)</f>
        <v>0</v>
      </c>
      <c r="O19" s="3211"/>
      <c r="P19" s="3218" t="s">
        <v>2788</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08">
        <v>3</v>
      </c>
      <c r="K20" s="3609" t="s">
        <v>2718</v>
      </c>
      <c r="L20" s="3213" t="s">
        <v>2719</v>
      </c>
      <c r="M20" s="3214" t="s">
        <v>2720</v>
      </c>
      <c r="N20" s="3220" t="s">
        <v>2721</v>
      </c>
      <c r="O20" s="3215" t="s">
        <v>2722</v>
      </c>
      <c r="P20" s="3157" t="s">
        <v>2707</v>
      </c>
      <c r="Q20" s="3152" t="s">
        <v>2708</v>
      </c>
      <c r="R20" s="3216" t="s">
        <v>2709</v>
      </c>
      <c r="S20" s="3221"/>
      <c r="T20" s="3221"/>
      <c r="U20" s="3221"/>
      <c r="V20" s="3186"/>
      <c r="W20" s="3185"/>
    </row>
    <row r="21" spans="1:23" s="3091" customFormat="1" ht="13.15" customHeight="1">
      <c r="A21" s="3101"/>
      <c r="B21" s="3102"/>
      <c r="C21" s="3125" t="s">
        <v>2723</v>
      </c>
      <c r="D21" s="3126" t="s">
        <v>2724</v>
      </c>
      <c r="E21" s="3127" t="s">
        <v>2725</v>
      </c>
      <c r="F21" s="3124"/>
      <c r="G21" s="3208"/>
      <c r="H21" s="3185"/>
      <c r="I21" s="3186"/>
      <c r="J21" s="3608"/>
      <c r="K21" s="3610"/>
      <c r="L21" s="3213" t="s">
        <v>2726</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2727</v>
      </c>
      <c r="D22" s="3163" t="s">
        <v>2728</v>
      </c>
      <c r="E22" s="3164" t="s">
        <v>2729</v>
      </c>
      <c r="F22" s="3124"/>
      <c r="G22" s="3223"/>
      <c r="H22" s="3185"/>
      <c r="I22" s="3186"/>
      <c r="J22" s="3608"/>
      <c r="K22" s="3610"/>
      <c r="L22" s="3213" t="s">
        <v>2730</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2731</v>
      </c>
      <c r="C23" s="3129">
        <f>D6</f>
        <v>0</v>
      </c>
      <c r="D23" s="3130">
        <f>C23*(1+D24)</f>
        <v>0</v>
      </c>
      <c r="E23" s="3131">
        <f>D23*(1+E24)</f>
        <v>0</v>
      </c>
      <c r="F23" s="3132"/>
      <c r="G23" s="3224"/>
      <c r="H23" s="3185"/>
      <c r="I23" s="3186"/>
      <c r="J23" s="3608"/>
      <c r="K23" s="3610"/>
      <c r="L23" s="3213" t="s">
        <v>2732</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2733</v>
      </c>
      <c r="C24" s="3135"/>
      <c r="D24" s="3165"/>
      <c r="E24" s="3166"/>
      <c r="F24" s="3136"/>
      <c r="G24" s="3224"/>
      <c r="H24" s="3185"/>
      <c r="I24" s="3186"/>
      <c r="J24" s="3608"/>
      <c r="K24" s="3611"/>
      <c r="L24" s="3209" t="s">
        <v>2698</v>
      </c>
      <c r="M24" s="3210">
        <f>SUM(M21:M23)</f>
        <v>0</v>
      </c>
      <c r="N24" s="3210"/>
      <c r="O24" s="3211"/>
      <c r="P24" s="3218" t="s">
        <v>2788</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2734</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2735</v>
      </c>
      <c r="C26" s="3129">
        <f>D7</f>
        <v>0</v>
      </c>
      <c r="D26" s="3130">
        <f>D23*D27</f>
        <v>0</v>
      </c>
      <c r="E26" s="3131">
        <f>E23*E27</f>
        <v>0</v>
      </c>
      <c r="F26" s="3132"/>
      <c r="G26" s="3224"/>
      <c r="H26" s="3185"/>
      <c r="I26" s="3186"/>
      <c r="J26" s="3612">
        <v>5</v>
      </c>
      <c r="K26" s="3232" t="s">
        <v>2736</v>
      </c>
      <c r="L26" s="3233"/>
      <c r="M26" s="3234"/>
      <c r="N26" s="3235" t="s">
        <v>2737</v>
      </c>
      <c r="O26" s="3235" t="s">
        <v>2738</v>
      </c>
      <c r="P26" s="3236" t="s">
        <v>2739</v>
      </c>
      <c r="Q26" s="3236" t="s">
        <v>2740</v>
      </c>
      <c r="R26" s="3192" t="s">
        <v>2709</v>
      </c>
      <c r="S26" s="3237"/>
      <c r="T26" s="3237"/>
      <c r="U26" s="3237"/>
      <c r="V26" s="3230"/>
      <c r="W26" s="3231"/>
    </row>
    <row r="27" spans="1:23" s="3091" customFormat="1" ht="13.15" customHeight="1">
      <c r="A27" s="3133"/>
      <c r="B27" s="3134" t="s">
        <v>2741</v>
      </c>
      <c r="C27" s="3138" t="e">
        <f>E7</f>
        <v>#DIV/0!</v>
      </c>
      <c r="D27" s="3165"/>
      <c r="E27" s="3166"/>
      <c r="F27" s="3136"/>
      <c r="G27" s="3224"/>
      <c r="H27" s="3231"/>
      <c r="I27" s="3230"/>
      <c r="J27" s="3613"/>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2742</v>
      </c>
      <c r="F28" s="3136"/>
      <c r="G28" s="3223"/>
      <c r="H28" s="3231"/>
      <c r="I28" s="3230"/>
      <c r="J28" s="3243">
        <v>6</v>
      </c>
      <c r="K28" s="3244" t="s">
        <v>2743</v>
      </c>
      <c r="L28" s="3245" t="s">
        <v>2744</v>
      </c>
      <c r="M28" s="3246"/>
      <c r="N28" s="3245" t="s">
        <v>2745</v>
      </c>
      <c r="O28" s="3247"/>
      <c r="P28" s="3245" t="s">
        <v>2746</v>
      </c>
      <c r="Q28" s="3248">
        <v>1.4999999999999999E-2</v>
      </c>
      <c r="R28" s="3249"/>
      <c r="S28" s="3221"/>
      <c r="T28" s="3221"/>
      <c r="U28" s="3221"/>
      <c r="V28" s="3230"/>
      <c r="W28" s="3231"/>
    </row>
    <row r="29" spans="1:23" s="3137" customFormat="1" ht="13.15" customHeight="1">
      <c r="A29" s="3128">
        <v>3</v>
      </c>
      <c r="B29" s="3100" t="s">
        <v>2747</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2741</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2748</v>
      </c>
      <c r="K31" s="3181"/>
      <c r="L31" s="3181"/>
      <c r="M31" s="3181"/>
      <c r="N31" s="3181"/>
      <c r="O31" s="3181"/>
      <c r="P31" s="3181"/>
      <c r="Q31" s="3181"/>
      <c r="R31" s="3182"/>
      <c r="S31" s="3221"/>
      <c r="T31" s="3183"/>
      <c r="U31" s="3183"/>
      <c r="V31" s="3230"/>
      <c r="W31" s="3231"/>
    </row>
    <row r="32" spans="1:23" s="3137" customFormat="1" ht="13.15" customHeight="1">
      <c r="A32" s="3128">
        <v>4</v>
      </c>
      <c r="B32" s="3100" t="s">
        <v>2749</v>
      </c>
      <c r="C32" s="3129">
        <f>C23-C26-C29</f>
        <v>0</v>
      </c>
      <c r="D32" s="3130">
        <f>D23-D26-D29</f>
        <v>0</v>
      </c>
      <c r="E32" s="3131">
        <f>E23-E26-E29</f>
        <v>0</v>
      </c>
      <c r="F32" s="3132"/>
      <c r="G32" s="3223"/>
      <c r="H32" s="3185"/>
      <c r="I32" s="3186"/>
      <c r="J32" s="3614" t="s">
        <v>2750</v>
      </c>
      <c r="K32" s="3615"/>
      <c r="L32" s="3187" t="s">
        <v>2751</v>
      </c>
      <c r="M32" s="3187" t="s">
        <v>2654</v>
      </c>
      <c r="N32" s="3187" t="s">
        <v>2655</v>
      </c>
      <c r="O32" s="3187" t="s">
        <v>2656</v>
      </c>
      <c r="P32" s="3187" t="s">
        <v>2657</v>
      </c>
      <c r="Q32" s="3188" t="s">
        <v>2752</v>
      </c>
      <c r="R32" s="3250" t="s">
        <v>2753</v>
      </c>
      <c r="S32" s="3221"/>
      <c r="T32" s="3183"/>
      <c r="U32" s="3183"/>
      <c r="V32" s="3230"/>
      <c r="W32" s="3231"/>
    </row>
    <row r="33" spans="1:23" s="3091" customFormat="1" ht="13.15" customHeight="1">
      <c r="A33" s="3128"/>
      <c r="B33" s="3100"/>
      <c r="C33" s="3129"/>
      <c r="D33" s="3140"/>
      <c r="E33" s="3141"/>
      <c r="F33" s="3132"/>
      <c r="G33" s="3223"/>
      <c r="H33" s="3231"/>
      <c r="I33" s="3230"/>
      <c r="J33" s="3616" t="s">
        <v>2754</v>
      </c>
      <c r="K33" s="3617"/>
      <c r="L33" s="3190"/>
      <c r="M33" s="3190"/>
      <c r="N33" s="3190"/>
      <c r="O33" s="3190"/>
      <c r="P33" s="3190"/>
      <c r="Q33" s="3191"/>
      <c r="R33" s="3251">
        <f>SUM(L33:Q33)</f>
        <v>0</v>
      </c>
      <c r="S33" s="3221"/>
      <c r="T33" s="3183"/>
      <c r="U33" s="3183"/>
      <c r="V33" s="3186"/>
      <c r="W33" s="3185"/>
    </row>
    <row r="34" spans="1:23" s="3091" customFormat="1" ht="13.15" customHeight="1">
      <c r="A34" s="3128">
        <v>5</v>
      </c>
      <c r="B34" s="3100" t="s">
        <v>2755</v>
      </c>
      <c r="C34" s="3168"/>
      <c r="D34" s="3169"/>
      <c r="E34" s="3170"/>
      <c r="F34" s="3132"/>
      <c r="G34" s="3223"/>
      <c r="H34" s="3231"/>
      <c r="I34" s="3230"/>
      <c r="J34" s="3616" t="s">
        <v>2756</v>
      </c>
      <c r="K34" s="3617"/>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2757</v>
      </c>
      <c r="C35" s="3171"/>
      <c r="D35" s="3172"/>
      <c r="E35" s="3173"/>
      <c r="F35" s="3132"/>
      <c r="G35" s="3253"/>
      <c r="H35" s="3185"/>
      <c r="I35" s="3230"/>
      <c r="J35" s="3196" t="s">
        <v>2758</v>
      </c>
      <c r="K35" s="3197"/>
      <c r="L35" s="3197"/>
      <c r="M35" s="3198"/>
      <c r="N35" s="3198"/>
      <c r="O35" s="3198"/>
      <c r="P35" s="3198"/>
      <c r="Q35" s="3198"/>
      <c r="R35" s="3254">
        <f>R40+R41+R43</f>
        <v>0</v>
      </c>
      <c r="S35" s="3221"/>
      <c r="T35" s="3183" t="s">
        <v>2759</v>
      </c>
      <c r="U35" s="3183"/>
      <c r="V35" s="3186"/>
      <c r="W35" s="3185"/>
    </row>
    <row r="36" spans="1:23" s="3091" customFormat="1" ht="13.15" customHeight="1" thickBot="1">
      <c r="A36" s="3128">
        <v>7</v>
      </c>
      <c r="B36" s="3142" t="s">
        <v>2760</v>
      </c>
      <c r="C36" s="3174"/>
      <c r="D36" s="3175"/>
      <c r="E36" s="3176"/>
      <c r="F36" s="3143">
        <f>C36+D36+E36</f>
        <v>0</v>
      </c>
      <c r="G36" s="3223"/>
      <c r="H36" s="3185"/>
      <c r="I36" s="3186"/>
      <c r="J36" s="3608">
        <v>1</v>
      </c>
      <c r="K36" s="3609" t="s">
        <v>2761</v>
      </c>
      <c r="L36" s="3200"/>
      <c r="M36" s="3201"/>
      <c r="N36" s="3201"/>
      <c r="O36" s="3201"/>
      <c r="P36" s="3201"/>
      <c r="Q36" s="3201"/>
      <c r="R36" s="3192" t="s">
        <v>2709</v>
      </c>
      <c r="S36" s="3221"/>
      <c r="T36" s="3183" t="s">
        <v>2762</v>
      </c>
      <c r="U36" s="3183"/>
      <c r="V36" s="3186"/>
      <c r="W36" s="3185"/>
    </row>
    <row r="37" spans="1:23" s="3091" customFormat="1" ht="13.15" customHeight="1">
      <c r="A37" s="3128"/>
      <c r="B37" s="3100"/>
      <c r="C37" s="3100"/>
      <c r="D37" s="3100"/>
      <c r="E37" s="3100"/>
      <c r="F37" s="3132"/>
      <c r="G37" s="3223"/>
      <c r="H37" s="3185"/>
      <c r="I37" s="3186"/>
      <c r="J37" s="3608"/>
      <c r="K37" s="3610"/>
      <c r="L37" s="3213"/>
      <c r="M37" s="3214"/>
      <c r="N37" s="3152"/>
      <c r="O37" s="3215"/>
      <c r="P37" s="3215"/>
      <c r="Q37" s="3157"/>
      <c r="R37" s="3255"/>
      <c r="S37" s="3221"/>
      <c r="T37" s="3183" t="s">
        <v>2763</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08"/>
      <c r="K38" s="3610"/>
      <c r="L38" s="3213"/>
      <c r="M38" s="3214"/>
      <c r="N38" s="3152"/>
      <c r="O38" s="3215"/>
      <c r="P38" s="3215"/>
      <c r="Q38" s="3157"/>
      <c r="R38" s="3255"/>
      <c r="S38" s="3221"/>
      <c r="T38" s="3183" t="s">
        <v>2685</v>
      </c>
      <c r="U38" s="3183"/>
      <c r="V38" s="3186"/>
      <c r="W38" s="3185"/>
    </row>
    <row r="39" spans="1:23" s="3091" customFormat="1" ht="13.15" customHeight="1">
      <c r="A39" s="3128">
        <v>9</v>
      </c>
      <c r="B39" s="3100" t="s">
        <v>2764</v>
      </c>
      <c r="C39" s="3113" t="e">
        <f>C38</f>
        <v>#DIV/0!</v>
      </c>
      <c r="D39" s="3100">
        <f>D38/(1+D34)^C36</f>
        <v>0</v>
      </c>
      <c r="E39" s="3100">
        <f>E38/(1+E34)^(C36+D36)</f>
        <v>0</v>
      </c>
      <c r="F39" s="3132"/>
      <c r="G39" s="3256"/>
      <c r="H39" s="3185"/>
      <c r="I39" s="3186"/>
      <c r="J39" s="3608"/>
      <c r="K39" s="3610"/>
      <c r="L39" s="3213"/>
      <c r="M39" s="3214"/>
      <c r="N39" s="3152"/>
      <c r="O39" s="3215"/>
      <c r="P39" s="3215"/>
      <c r="Q39" s="3157"/>
      <c r="R39" s="3255"/>
      <c r="S39" s="3221"/>
      <c r="T39" s="3183"/>
      <c r="U39" s="3183"/>
      <c r="V39" s="3186"/>
      <c r="W39" s="3185"/>
    </row>
    <row r="40" spans="1:23" s="3091" customFormat="1" ht="13.15" customHeight="1">
      <c r="A40" s="3144">
        <v>10</v>
      </c>
      <c r="B40" s="3100" t="s">
        <v>2765</v>
      </c>
      <c r="C40" s="3145" t="e">
        <f>C39+D39+E39</f>
        <v>#DIV/0!</v>
      </c>
      <c r="D40" s="3146"/>
      <c r="E40" s="3146"/>
      <c r="F40" s="3147"/>
      <c r="G40" s="3223"/>
      <c r="H40" s="3185"/>
      <c r="I40" s="3186"/>
      <c r="J40" s="3608"/>
      <c r="K40" s="3611"/>
      <c r="L40" s="3209" t="s">
        <v>2766</v>
      </c>
      <c r="M40" s="3210"/>
      <c r="N40" s="3210"/>
      <c r="O40" s="3211"/>
      <c r="P40" s="3211"/>
      <c r="Q40" s="3212"/>
      <c r="R40" s="3189">
        <f>SUM(R37:R39)</f>
        <v>0</v>
      </c>
      <c r="S40" s="3221"/>
      <c r="T40" s="3183"/>
      <c r="U40" s="3183"/>
      <c r="V40" s="3186"/>
      <c r="W40" s="3185"/>
    </row>
    <row r="41" spans="1:23" s="3091" customFormat="1" ht="13.15" customHeight="1" thickBot="1">
      <c r="A41" s="3148">
        <v>11</v>
      </c>
      <c r="B41" s="3149" t="s">
        <v>2767</v>
      </c>
      <c r="C41" s="3149" t="e">
        <f>ROUND(C40*10000/B4,0)</f>
        <v>#DIV/0!</v>
      </c>
      <c r="D41" s="3150"/>
      <c r="E41" s="3150"/>
      <c r="F41" s="3151"/>
      <c r="G41" s="3257"/>
      <c r="H41" s="3185"/>
      <c r="I41" s="3186"/>
      <c r="J41" s="3225">
        <v>2</v>
      </c>
      <c r="K41" s="3226" t="s">
        <v>2768</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12">
        <v>3</v>
      </c>
      <c r="K42" s="3232" t="s">
        <v>2769</v>
      </c>
      <c r="L42" s="3233"/>
      <c r="M42" s="3234"/>
      <c r="N42" s="3235" t="s">
        <v>2770</v>
      </c>
      <c r="O42" s="3235" t="s">
        <v>2771</v>
      </c>
      <c r="P42" s="3236" t="s">
        <v>2772</v>
      </c>
      <c r="Q42" s="3236" t="s">
        <v>2773</v>
      </c>
      <c r="R42" s="3192" t="s">
        <v>2676</v>
      </c>
      <c r="S42" s="3237"/>
      <c r="T42" s="3237"/>
      <c r="U42" s="3183"/>
      <c r="V42" s="3186"/>
      <c r="W42" s="3185"/>
    </row>
    <row r="43" spans="1:23" ht="13.15" customHeight="1">
      <c r="A43" s="3091"/>
      <c r="B43" s="3091"/>
      <c r="C43" s="3091"/>
      <c r="D43" s="3091"/>
      <c r="E43" s="3091"/>
      <c r="F43" s="3091"/>
      <c r="I43" s="3178"/>
      <c r="J43" s="3613"/>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2774</v>
      </c>
      <c r="L44" s="3260" t="s">
        <v>2775</v>
      </c>
      <c r="M44" s="3246"/>
      <c r="N44" s="3260" t="s">
        <v>2776</v>
      </c>
      <c r="O44" s="3246"/>
      <c r="P44" s="3260" t="s">
        <v>2777</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K1" zoomScale="80" zoomScaleNormal="90" zoomScaleSheetLayoutView="80" workbookViewId="0">
      <pane ySplit="27" topLeftCell="A28" activePane="bottomLeft" state="frozen"/>
      <selection activeCell="A11" sqref="A11:D11"/>
      <selection pane="bottomLeft" activeCell="AC33" sqref="AC3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279</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31651</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0" t="s">
        <v>1973</v>
      </c>
      <c r="D4" s="3631"/>
      <c r="E4" s="3631"/>
      <c r="F4" s="3631"/>
      <c r="G4" s="3631"/>
      <c r="H4" s="3631"/>
      <c r="I4" s="3631"/>
      <c r="J4" s="3631"/>
      <c r="K4" s="3631"/>
      <c r="L4" s="3631"/>
      <c r="M4" s="3631"/>
      <c r="N4" s="3631"/>
      <c r="O4" s="3631"/>
      <c r="P4" s="3631"/>
      <c r="Q4" s="3631"/>
      <c r="R4" s="3631"/>
      <c r="S4" s="3632"/>
      <c r="T4" s="575" t="s">
        <v>1974</v>
      </c>
      <c r="U4" s="957"/>
      <c r="V4" s="957"/>
      <c r="X4" s="957"/>
      <c r="Y4" s="957"/>
    </row>
    <row r="5" spans="1:44" s="587" customFormat="1" ht="38.25">
      <c r="A5" s="961"/>
      <c r="B5" s="583" t="s">
        <v>1975</v>
      </c>
      <c r="C5" s="584" t="str">
        <f t="shared" ref="C5:L5" si="0">C6&amp;"(含)"&amp;"-"&amp;D6</f>
        <v>0(含)-200</v>
      </c>
      <c r="D5" s="585" t="str">
        <f t="shared" si="0"/>
        <v>200(含)-500</v>
      </c>
      <c r="E5" s="585" t="str">
        <f t="shared" si="0"/>
        <v>500(含)-1000</v>
      </c>
      <c r="F5" s="585" t="str">
        <f t="shared" si="0"/>
        <v>1000(含)-1500</v>
      </c>
      <c r="G5" s="585" t="str">
        <f t="shared" si="0"/>
        <v>1500(含)-2500</v>
      </c>
      <c r="H5" s="585" t="str">
        <f t="shared" si="0"/>
        <v>2500(含)-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f>'比较法-办公'!C104</f>
        <v>0</v>
      </c>
      <c r="D6" s="589">
        <f>'比较法-办公'!D104</f>
        <v>200</v>
      </c>
      <c r="E6" s="589">
        <f>'比较法-办公'!E104</f>
        <v>500</v>
      </c>
      <c r="F6" s="589">
        <f>'比较法-办公'!F104</f>
        <v>1000</v>
      </c>
      <c r="G6" s="589">
        <f>'比较法-办公'!G104</f>
        <v>1500</v>
      </c>
      <c r="H6" s="589">
        <f>'比较法-办公'!H104</f>
        <v>2500</v>
      </c>
      <c r="I6" s="589"/>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589">
        <f>'比较法-办公'!C105</f>
        <v>98</v>
      </c>
      <c r="D7" s="589">
        <f>'比较法-办公'!D105</f>
        <v>100</v>
      </c>
      <c r="E7" s="589">
        <f>'比较法-办公'!E105</f>
        <v>98</v>
      </c>
      <c r="F7" s="589">
        <f>'比较法-办公'!F105</f>
        <v>96</v>
      </c>
      <c r="G7" s="589">
        <f>'比较法-办公'!G105</f>
        <v>94</v>
      </c>
      <c r="H7" s="589">
        <f>'比较法-办公'!H105</f>
        <v>92</v>
      </c>
      <c r="I7" s="589"/>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 ca="1">IF(F23="——",IF(C23="万元",T25,S25),IF(C23="万元",T25-H23,S25-H23))</f>
        <v>279</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f ca="1">ROUND(B23*10000/B25,0)</f>
        <v>31651</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88.15</v>
      </c>
      <c r="C25" s="3627" t="s">
        <v>45</v>
      </c>
      <c r="D25" s="3628"/>
      <c r="E25" s="3628"/>
      <c r="F25" s="3628"/>
      <c r="G25" s="3628"/>
      <c r="H25" s="3628"/>
      <c r="I25" s="3628"/>
      <c r="J25" s="3628"/>
      <c r="K25" s="3628"/>
      <c r="L25" s="3628"/>
      <c r="M25" s="3628"/>
      <c r="N25" s="3628"/>
      <c r="O25" s="3628"/>
      <c r="P25" s="3628"/>
      <c r="Q25" s="3629"/>
      <c r="R25" s="597">
        <f ca="1">IF(C23="万元",ROUND(T25*10000/B25,0),ROUND(S25/B25,0))</f>
        <v>31651</v>
      </c>
      <c r="S25" s="13">
        <f ca="1">SUM(S27:S10000)</f>
        <v>2788361</v>
      </c>
      <c r="T25" s="13">
        <f ca="1">SUM(T27:T10000)</f>
        <v>279</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Sheet1!B4</f>
        <v>B1102</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f ca="1">'结果表 (1修多)'!G20</f>
        <v>31632</v>
      </c>
      <c r="S27" s="600">
        <f ca="1">ROUND(R27*B27,0)</f>
        <v>0</v>
      </c>
      <c r="T27" s="600">
        <f ca="1">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t="str">
        <f>Sheet1!B5</f>
        <v>B1101A</v>
      </c>
      <c r="B28" s="20">
        <f>Sheet1!C5</f>
        <v>88.15</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31632</v>
      </c>
      <c r="S28" s="250">
        <f ca="1">ROUND(R28*B28,0)</f>
        <v>2788361</v>
      </c>
      <c r="T28" s="859">
        <f ca="1">ROUND(R28*B28/10000,0)</f>
        <v>279</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2002</v>
      </c>
      <c r="C1" s="1567"/>
      <c r="D1" s="1568"/>
      <c r="E1" s="1569" t="s">
        <v>985</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2004</v>
      </c>
      <c r="D3" s="1588">
        <f>IF(C1="仅计算典型户型",'数据-取费表'!E5,'数据-取费表'!B5)</f>
        <v>176.29</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2005</v>
      </c>
      <c r="B4" s="1592"/>
      <c r="C4" s="3577" t="s">
        <v>2006</v>
      </c>
      <c r="D4" s="3578"/>
      <c r="E4" s="3579" t="s">
        <v>2007</v>
      </c>
      <c r="F4" s="3580"/>
      <c r="G4" s="3577" t="s">
        <v>2008</v>
      </c>
      <c r="H4" s="3578"/>
      <c r="I4" s="3577" t="s">
        <v>2009</v>
      </c>
      <c r="J4" s="3578"/>
      <c r="K4" s="1593" t="s">
        <v>2010</v>
      </c>
      <c r="L4" s="2915"/>
      <c r="M4" s="2916"/>
      <c r="N4" s="2916"/>
      <c r="O4" s="2916"/>
      <c r="P4" s="3581" t="s">
        <v>2011</v>
      </c>
      <c r="Q4" s="3582"/>
      <c r="R4" s="3587" t="s">
        <v>2007</v>
      </c>
      <c r="S4" s="3588"/>
      <c r="T4" s="3587" t="s">
        <v>2008</v>
      </c>
      <c r="U4" s="3588"/>
      <c r="V4" s="3593" t="s">
        <v>2009</v>
      </c>
      <c r="W4" s="3593"/>
      <c r="X4" s="1594"/>
      <c r="Y4" s="3587" t="s">
        <v>2011</v>
      </c>
      <c r="Z4" s="3588"/>
      <c r="AA4" s="3574" t="s">
        <v>2007</v>
      </c>
      <c r="AB4" s="3574" t="s">
        <v>2008</v>
      </c>
      <c r="AC4" s="3574" t="s">
        <v>2009</v>
      </c>
    </row>
    <row r="5" spans="1:29" ht="15">
      <c r="A5" s="1596"/>
      <c r="B5" s="1597"/>
      <c r="C5" s="3570" t="s">
        <v>2012</v>
      </c>
      <c r="D5" s="3571"/>
      <c r="E5" s="3594" t="s">
        <v>2013</v>
      </c>
      <c r="F5" s="3595"/>
      <c r="G5" s="3570" t="s">
        <v>2014</v>
      </c>
      <c r="H5" s="3571"/>
      <c r="I5" s="3570" t="s">
        <v>2015</v>
      </c>
      <c r="J5" s="3571"/>
      <c r="K5" s="1598"/>
      <c r="L5" s="2915"/>
      <c r="M5" s="2916"/>
      <c r="N5" s="2916"/>
      <c r="O5" s="2916"/>
      <c r="P5" s="3583"/>
      <c r="Q5" s="3584"/>
      <c r="R5" s="3589"/>
      <c r="S5" s="3590"/>
      <c r="T5" s="3589"/>
      <c r="U5" s="3590"/>
      <c r="V5" s="3593"/>
      <c r="W5" s="3593"/>
      <c r="X5" s="1594"/>
      <c r="Y5" s="3589"/>
      <c r="Z5" s="3590"/>
      <c r="AA5" s="3575"/>
      <c r="AB5" s="3575"/>
      <c r="AC5" s="3575"/>
    </row>
    <row r="6" spans="1:29" ht="15.75" thickBot="1">
      <c r="A6" s="1599"/>
      <c r="B6" s="1600"/>
      <c r="C6" s="3567" t="s">
        <v>2016</v>
      </c>
      <c r="D6" s="3568"/>
      <c r="E6" s="3565" t="s">
        <v>2016</v>
      </c>
      <c r="F6" s="3566"/>
      <c r="G6" s="3567" t="s">
        <v>2016</v>
      </c>
      <c r="H6" s="3568"/>
      <c r="I6" s="3567" t="s">
        <v>2016</v>
      </c>
      <c r="J6" s="3568"/>
      <c r="K6" s="1598" t="s">
        <v>2017</v>
      </c>
      <c r="L6" s="2915"/>
      <c r="M6" s="2916"/>
      <c r="N6" s="2916"/>
      <c r="O6" s="2916"/>
      <c r="P6" s="3585"/>
      <c r="Q6" s="3586"/>
      <c r="R6" s="3589"/>
      <c r="S6" s="3590"/>
      <c r="T6" s="3591"/>
      <c r="U6" s="3592"/>
      <c r="V6" s="3593"/>
      <c r="W6" s="3593"/>
      <c r="X6" s="1594"/>
      <c r="Y6" s="3591"/>
      <c r="Z6" s="3592"/>
      <c r="AA6" s="3576"/>
      <c r="AB6" s="3576"/>
      <c r="AC6" s="3576"/>
    </row>
    <row r="7" spans="1:29" s="1613" customFormat="1" ht="15.75" thickBot="1">
      <c r="A7" s="1601" t="s">
        <v>2018</v>
      </c>
      <c r="B7" s="1602"/>
      <c r="C7" s="1603">
        <f>'数据-取费表'!B2</f>
        <v>44676</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72" t="s">
        <v>2019</v>
      </c>
      <c r="Q7" s="3596"/>
      <c r="R7" s="1609" t="s">
        <v>34</v>
      </c>
      <c r="S7" s="1610">
        <f t="shared" ref="S7:S15" si="0">F7</f>
        <v>0</v>
      </c>
      <c r="T7" s="1609" t="s">
        <v>34</v>
      </c>
      <c r="U7" s="1610">
        <f t="shared" ref="U7:U15" si="1">H7</f>
        <v>0</v>
      </c>
      <c r="V7" s="1609" t="s">
        <v>34</v>
      </c>
      <c r="W7" s="1610">
        <f t="shared" ref="W7:W15" si="2">J7</f>
        <v>0</v>
      </c>
      <c r="X7" s="1611"/>
      <c r="Y7" s="3572" t="s">
        <v>2019</v>
      </c>
      <c r="Z7" s="3573"/>
      <c r="AA7" s="1612" t="e">
        <f>D7/F7</f>
        <v>#DIV/0!</v>
      </c>
      <c r="AB7" s="1612" t="e">
        <f>D7/H7</f>
        <v>#DIV/0!</v>
      </c>
      <c r="AC7" s="1612" t="e">
        <f>D7/J7</f>
        <v>#DIV/0!</v>
      </c>
    </row>
    <row r="8" spans="1:29" s="1613" customFormat="1" ht="15.75" thickBot="1">
      <c r="A8" s="1601" t="s">
        <v>2020</v>
      </c>
      <c r="B8" s="1602"/>
      <c r="C8" s="1614" t="s">
        <v>2021</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72" t="s">
        <v>2022</v>
      </c>
      <c r="Q8" s="3573"/>
      <c r="R8" s="1609" t="s">
        <v>34</v>
      </c>
      <c r="S8" s="1610">
        <f t="shared" si="0"/>
        <v>0</v>
      </c>
      <c r="T8" s="1609" t="s">
        <v>34</v>
      </c>
      <c r="U8" s="1610">
        <f t="shared" si="1"/>
        <v>0</v>
      </c>
      <c r="V8" s="1609" t="s">
        <v>34</v>
      </c>
      <c r="W8" s="1610">
        <f t="shared" si="2"/>
        <v>0</v>
      </c>
      <c r="X8" s="1611"/>
      <c r="Y8" s="3572" t="s">
        <v>2022</v>
      </c>
      <c r="Z8" s="3573"/>
      <c r="AA8" s="1612" t="e">
        <f t="shared" ref="AA8:AA46" si="3">D8/F8</f>
        <v>#DIV/0!</v>
      </c>
      <c r="AB8" s="1612" t="e">
        <f t="shared" ref="AB8:AB46" si="4">D8/H8</f>
        <v>#DIV/0!</v>
      </c>
      <c r="AC8" s="1612" t="e">
        <f t="shared" ref="AC8:AC46" si="5">D8/J8</f>
        <v>#DIV/0!</v>
      </c>
    </row>
    <row r="9" spans="1:29" s="1613" customFormat="1">
      <c r="A9" s="1564" t="s">
        <v>2023</v>
      </c>
      <c r="B9" s="1616" t="s">
        <v>2024</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36" t="s">
        <v>2025</v>
      </c>
      <c r="Q9" s="1563" t="str">
        <f t="shared" ref="Q9:Q15" si="6">B9</f>
        <v>用途</v>
      </c>
      <c r="R9" s="1609" t="s">
        <v>25</v>
      </c>
      <c r="S9" s="1610">
        <f t="shared" si="0"/>
        <v>100</v>
      </c>
      <c r="T9" s="1609" t="s">
        <v>25</v>
      </c>
      <c r="U9" s="1610">
        <f t="shared" si="1"/>
        <v>100</v>
      </c>
      <c r="V9" s="1609" t="s">
        <v>25</v>
      </c>
      <c r="W9" s="1610">
        <f t="shared" si="2"/>
        <v>100</v>
      </c>
      <c r="X9" s="1611"/>
      <c r="Y9" s="3495"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36"/>
      <c r="Q10" s="1563" t="str">
        <f t="shared" si="6"/>
        <v>土地使用年限（年）</v>
      </c>
      <c r="R10" s="1609" t="s">
        <v>25</v>
      </c>
      <c r="S10" s="1610">
        <f t="shared" si="0"/>
        <v>100</v>
      </c>
      <c r="T10" s="1609" t="s">
        <v>25</v>
      </c>
      <c r="U10" s="1610">
        <f t="shared" si="1"/>
        <v>100</v>
      </c>
      <c r="V10" s="1609" t="s">
        <v>25</v>
      </c>
      <c r="W10" s="1610">
        <f t="shared" si="2"/>
        <v>100</v>
      </c>
      <c r="X10" s="1611"/>
      <c r="Y10" s="3495"/>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36"/>
      <c r="Q11" s="1563" t="str">
        <f t="shared" si="6"/>
        <v>容积率</v>
      </c>
      <c r="R11" s="1609" t="s">
        <v>28</v>
      </c>
      <c r="S11" s="1610" t="e">
        <f t="shared" si="0"/>
        <v>#N/A</v>
      </c>
      <c r="T11" s="1609" t="s">
        <v>28</v>
      </c>
      <c r="U11" s="1610" t="e">
        <f t="shared" si="1"/>
        <v>#N/A</v>
      </c>
      <c r="V11" s="1609" t="s">
        <v>28</v>
      </c>
      <c r="W11" s="1610" t="e">
        <f t="shared" si="2"/>
        <v>#N/A</v>
      </c>
      <c r="X11" s="1611"/>
      <c r="Y11" s="349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36"/>
      <c r="Q12" s="1563">
        <f t="shared" si="6"/>
        <v>111</v>
      </c>
      <c r="R12" s="1609" t="s">
        <v>28</v>
      </c>
      <c r="S12" s="1610">
        <f t="shared" si="0"/>
        <v>100</v>
      </c>
      <c r="T12" s="1609" t="s">
        <v>28</v>
      </c>
      <c r="U12" s="1610">
        <f t="shared" si="1"/>
        <v>100</v>
      </c>
      <c r="V12" s="1609" t="s">
        <v>28</v>
      </c>
      <c r="W12" s="1610">
        <f t="shared" si="2"/>
        <v>100</v>
      </c>
      <c r="X12" s="1611"/>
      <c r="Y12" s="349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36"/>
      <c r="Q13" s="1563">
        <f t="shared" si="6"/>
        <v>111</v>
      </c>
      <c r="R13" s="1609" t="s">
        <v>28</v>
      </c>
      <c r="S13" s="1610">
        <f t="shared" si="0"/>
        <v>100</v>
      </c>
      <c r="T13" s="1609" t="s">
        <v>28</v>
      </c>
      <c r="U13" s="1610">
        <f t="shared" si="1"/>
        <v>100</v>
      </c>
      <c r="V13" s="1609" t="s">
        <v>28</v>
      </c>
      <c r="W13" s="1610">
        <f t="shared" si="2"/>
        <v>100</v>
      </c>
      <c r="X13" s="1611"/>
      <c r="Y13" s="3495"/>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36"/>
      <c r="Q14" s="1563">
        <f t="shared" si="6"/>
        <v>111</v>
      </c>
      <c r="R14" s="1609" t="s">
        <v>28</v>
      </c>
      <c r="S14" s="1610">
        <f t="shared" si="0"/>
        <v>100</v>
      </c>
      <c r="T14" s="1609" t="s">
        <v>28</v>
      </c>
      <c r="U14" s="1610">
        <f t="shared" si="1"/>
        <v>100</v>
      </c>
      <c r="V14" s="1609" t="s">
        <v>28</v>
      </c>
      <c r="W14" s="1610">
        <f t="shared" si="2"/>
        <v>100</v>
      </c>
      <c r="X14" s="1611"/>
      <c r="Y14" s="3495"/>
      <c r="Z14" s="1622">
        <f t="shared" si="7"/>
        <v>111</v>
      </c>
      <c r="AA14" s="1612">
        <f t="shared" si="3"/>
        <v>1</v>
      </c>
      <c r="AB14" s="1612">
        <f t="shared" si="4"/>
        <v>1</v>
      </c>
      <c r="AC14" s="1612">
        <f t="shared" si="5"/>
        <v>1</v>
      </c>
    </row>
    <row r="15" spans="1:29" ht="99.75">
      <c r="A15" s="1646" t="s">
        <v>2029</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7" t="s">
        <v>2030</v>
      </c>
      <c r="Q15" s="1544" t="str">
        <f t="shared" si="6"/>
        <v>居住社区成熟度</v>
      </c>
      <c r="R15" s="1654" t="s">
        <v>28</v>
      </c>
      <c r="S15" s="1655">
        <f t="shared" si="0"/>
        <v>100</v>
      </c>
      <c r="T15" s="1654" t="s">
        <v>28</v>
      </c>
      <c r="U15" s="1655">
        <f t="shared" si="1"/>
        <v>100</v>
      </c>
      <c r="V15" s="1654" t="s">
        <v>28</v>
      </c>
      <c r="W15" s="1655">
        <f t="shared" si="2"/>
        <v>100</v>
      </c>
      <c r="X15" s="1594"/>
      <c r="Y15" s="3597" t="s">
        <v>2030</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8"/>
      <c r="Q16" s="1544"/>
      <c r="R16" s="1654"/>
      <c r="S16" s="1655"/>
      <c r="T16" s="1654"/>
      <c r="U16" s="1655"/>
      <c r="V16" s="1654"/>
      <c r="W16" s="1655"/>
      <c r="X16" s="1594"/>
      <c r="Y16" s="3598"/>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8"/>
      <c r="Q17" s="1544" t="str">
        <f>B17</f>
        <v>交通便捷度</v>
      </c>
      <c r="R17" s="1654" t="s">
        <v>28</v>
      </c>
      <c r="S17" s="1655">
        <f>F17</f>
        <v>100</v>
      </c>
      <c r="T17" s="1654" t="s">
        <v>28</v>
      </c>
      <c r="U17" s="1655">
        <f>H17</f>
        <v>100</v>
      </c>
      <c r="V17" s="1654" t="s">
        <v>28</v>
      </c>
      <c r="W17" s="1655">
        <f>J17</f>
        <v>100</v>
      </c>
      <c r="X17" s="1594"/>
      <c r="Y17" s="3598"/>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8"/>
      <c r="Q18" s="1544"/>
      <c r="R18" s="1654"/>
      <c r="S18" s="1655"/>
      <c r="T18" s="1654"/>
      <c r="U18" s="1655"/>
      <c r="V18" s="1654"/>
      <c r="W18" s="1655"/>
      <c r="X18" s="1594"/>
      <c r="Y18" s="3598"/>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8"/>
      <c r="Q19" s="1544" t="str">
        <f>B19</f>
        <v>公共配套设施</v>
      </c>
      <c r="R19" s="1654" t="s">
        <v>28</v>
      </c>
      <c r="S19" s="1655">
        <f>F19</f>
        <v>100</v>
      </c>
      <c r="T19" s="1654" t="s">
        <v>28</v>
      </c>
      <c r="U19" s="1655">
        <f>H19</f>
        <v>100</v>
      </c>
      <c r="V19" s="1654" t="s">
        <v>28</v>
      </c>
      <c r="W19" s="1655">
        <f>J19</f>
        <v>100</v>
      </c>
      <c r="X19" s="1594"/>
      <c r="Y19" s="3598"/>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8"/>
      <c r="Q20" s="1544"/>
      <c r="R20" s="1654"/>
      <c r="S20" s="1655"/>
      <c r="T20" s="1654"/>
      <c r="U20" s="1655"/>
      <c r="V20" s="1654"/>
      <c r="W20" s="1655"/>
      <c r="X20" s="1594"/>
      <c r="Y20" s="3598"/>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8"/>
      <c r="Q21" s="1544" t="str">
        <f>B21</f>
        <v>基础设施水平</v>
      </c>
      <c r="R21" s="1654" t="s">
        <v>28</v>
      </c>
      <c r="S21" s="1655">
        <f>F21</f>
        <v>100</v>
      </c>
      <c r="T21" s="1654" t="s">
        <v>28</v>
      </c>
      <c r="U21" s="1655">
        <f>H21</f>
        <v>100</v>
      </c>
      <c r="V21" s="1654" t="s">
        <v>28</v>
      </c>
      <c r="W21" s="1655">
        <f>J21</f>
        <v>100</v>
      </c>
      <c r="X21" s="1594"/>
      <c r="Y21" s="3598"/>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8"/>
      <c r="Q22" s="1544"/>
      <c r="R22" s="1654"/>
      <c r="S22" s="1655"/>
      <c r="T22" s="1654"/>
      <c r="U22" s="1655"/>
      <c r="V22" s="1654"/>
      <c r="W22" s="1655"/>
      <c r="X22" s="1594"/>
      <c r="Y22" s="3598"/>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8"/>
      <c r="Q23" s="1544" t="str">
        <f>B23</f>
        <v>自然及人文环境</v>
      </c>
      <c r="R23" s="1654" t="s">
        <v>28</v>
      </c>
      <c r="S23" s="1655">
        <f>F23</f>
        <v>100</v>
      </c>
      <c r="T23" s="1654" t="s">
        <v>28</v>
      </c>
      <c r="U23" s="1655">
        <f>H23</f>
        <v>100</v>
      </c>
      <c r="V23" s="1654" t="s">
        <v>28</v>
      </c>
      <c r="W23" s="1655">
        <f>J23</f>
        <v>100</v>
      </c>
      <c r="X23" s="1594"/>
      <c r="Y23" s="3598"/>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8"/>
      <c r="Q24" s="1544"/>
      <c r="R24" s="1654"/>
      <c r="S24" s="1655"/>
      <c r="T24" s="1654"/>
      <c r="U24" s="1655"/>
      <c r="V24" s="1654"/>
      <c r="W24" s="1655"/>
      <c r="X24" s="1594"/>
      <c r="Y24" s="3598"/>
      <c r="Z24" s="1656"/>
      <c r="AA24" s="1657">
        <v>1</v>
      </c>
      <c r="AB24" s="1657">
        <v>1</v>
      </c>
      <c r="AC24" s="1657">
        <v>1</v>
      </c>
    </row>
    <row r="25" spans="1:29" ht="15">
      <c r="A25" s="1631"/>
      <c r="B25" s="1624" t="s">
        <v>2031</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8"/>
      <c r="Q25" s="1544" t="str">
        <f t="shared" ref="Q25:Q46" si="11">B25</f>
        <v>楼层-1</v>
      </c>
      <c r="R25" s="1654" t="s">
        <v>28</v>
      </c>
      <c r="S25" s="1655">
        <f>F25</f>
        <v>100</v>
      </c>
      <c r="T25" s="1654" t="s">
        <v>28</v>
      </c>
      <c r="U25" s="1655">
        <f>H25</f>
        <v>100</v>
      </c>
      <c r="V25" s="1654" t="s">
        <v>28</v>
      </c>
      <c r="W25" s="1655">
        <f>J25</f>
        <v>100</v>
      </c>
      <c r="X25" s="1594"/>
      <c r="Y25" s="3598"/>
      <c r="Z25" s="1656" t="str">
        <f>Q25</f>
        <v>楼层-1</v>
      </c>
      <c r="AA25" s="1657">
        <f t="shared" si="3"/>
        <v>1</v>
      </c>
      <c r="AB25" s="1657">
        <f t="shared" si="4"/>
        <v>1</v>
      </c>
      <c r="AC25" s="1657">
        <f t="shared" si="5"/>
        <v>1</v>
      </c>
    </row>
    <row r="26" spans="1:29" ht="15">
      <c r="A26" s="1631"/>
      <c r="B26" s="1624" t="s">
        <v>2032</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8"/>
      <c r="Q26" s="1544" t="str">
        <f t="shared" si="11"/>
        <v>朝向</v>
      </c>
      <c r="R26" s="1654" t="s">
        <v>28</v>
      </c>
      <c r="S26" s="1655">
        <f>F26</f>
        <v>100</v>
      </c>
      <c r="T26" s="1654" t="s">
        <v>28</v>
      </c>
      <c r="U26" s="1655">
        <f>H26</f>
        <v>100</v>
      </c>
      <c r="V26" s="1654" t="s">
        <v>28</v>
      </c>
      <c r="W26" s="1655">
        <f>J26</f>
        <v>100</v>
      </c>
      <c r="X26" s="1594"/>
      <c r="Y26" s="3598"/>
      <c r="Z26" s="1656" t="str">
        <f>Q26</f>
        <v>朝向</v>
      </c>
      <c r="AA26" s="1657">
        <f t="shared" si="3"/>
        <v>1</v>
      </c>
      <c r="AB26" s="1657">
        <f t="shared" si="4"/>
        <v>1</v>
      </c>
      <c r="AC26" s="1657">
        <f t="shared" si="5"/>
        <v>1</v>
      </c>
    </row>
    <row r="27" spans="1:29" s="1613" customFormat="1" ht="15">
      <c r="A27" s="1634"/>
      <c r="B27" s="1635" t="s">
        <v>2033</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8"/>
      <c r="Q27" s="1563" t="str">
        <f t="shared" si="11"/>
        <v>道路级别</v>
      </c>
      <c r="R27" s="1609" t="s">
        <v>28</v>
      </c>
      <c r="S27" s="1610">
        <f>F27</f>
        <v>100</v>
      </c>
      <c r="T27" s="1609" t="s">
        <v>28</v>
      </c>
      <c r="U27" s="1610">
        <f>H27</f>
        <v>100</v>
      </c>
      <c r="V27" s="1609" t="s">
        <v>28</v>
      </c>
      <c r="W27" s="1610">
        <f>J27</f>
        <v>100</v>
      </c>
      <c r="X27" s="1611"/>
      <c r="Y27" s="3598"/>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8"/>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8"/>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8"/>
      <c r="Q29" s="1544">
        <f t="shared" si="11"/>
        <v>111</v>
      </c>
      <c r="R29" s="1654" t="s">
        <v>28</v>
      </c>
      <c r="S29" s="1655">
        <f t="shared" si="12"/>
        <v>100</v>
      </c>
      <c r="T29" s="1654" t="s">
        <v>28</v>
      </c>
      <c r="U29" s="1655">
        <f t="shared" si="13"/>
        <v>100</v>
      </c>
      <c r="V29" s="1654" t="s">
        <v>28</v>
      </c>
      <c r="W29" s="1655">
        <f t="shared" si="14"/>
        <v>100</v>
      </c>
      <c r="X29" s="1594"/>
      <c r="Y29" s="3598"/>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8"/>
      <c r="Q30" s="1544">
        <f t="shared" si="11"/>
        <v>111</v>
      </c>
      <c r="R30" s="1654" t="s">
        <v>28</v>
      </c>
      <c r="S30" s="1655">
        <f t="shared" si="12"/>
        <v>100</v>
      </c>
      <c r="T30" s="1654" t="s">
        <v>28</v>
      </c>
      <c r="U30" s="1655">
        <f t="shared" si="13"/>
        <v>100</v>
      </c>
      <c r="V30" s="1654" t="s">
        <v>28</v>
      </c>
      <c r="W30" s="1655">
        <f t="shared" si="14"/>
        <v>100</v>
      </c>
      <c r="X30" s="1594"/>
      <c r="Y30" s="3598"/>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8"/>
      <c r="Q31" s="1544">
        <f t="shared" si="11"/>
        <v>111</v>
      </c>
      <c r="R31" s="1654" t="s">
        <v>28</v>
      </c>
      <c r="S31" s="1655">
        <f t="shared" si="12"/>
        <v>100</v>
      </c>
      <c r="T31" s="1654" t="s">
        <v>28</v>
      </c>
      <c r="U31" s="1655">
        <f t="shared" si="13"/>
        <v>100</v>
      </c>
      <c r="V31" s="1654" t="s">
        <v>28</v>
      </c>
      <c r="W31" s="1655">
        <f t="shared" si="14"/>
        <v>100</v>
      </c>
      <c r="X31" s="1594"/>
      <c r="Y31" s="3598"/>
      <c r="Z31" s="1656">
        <f t="shared" si="15"/>
        <v>111</v>
      </c>
      <c r="AA31" s="1657">
        <f t="shared" si="3"/>
        <v>1</v>
      </c>
      <c r="AB31" s="1657">
        <f t="shared" si="4"/>
        <v>1</v>
      </c>
      <c r="AC31" s="1657">
        <f t="shared" si="5"/>
        <v>1</v>
      </c>
    </row>
    <row r="32" spans="1:29" ht="15">
      <c r="A32" s="1646" t="s">
        <v>2034</v>
      </c>
      <c r="B32" s="1616" t="s">
        <v>2035</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3" t="s">
        <v>2036</v>
      </c>
      <c r="Q32" s="1544" t="str">
        <f t="shared" si="11"/>
        <v>建筑类型</v>
      </c>
      <c r="R32" s="1654" t="s">
        <v>28</v>
      </c>
      <c r="S32" s="1655">
        <f t="shared" si="12"/>
        <v>100</v>
      </c>
      <c r="T32" s="1654" t="s">
        <v>28</v>
      </c>
      <c r="U32" s="1655">
        <f t="shared" si="13"/>
        <v>100</v>
      </c>
      <c r="V32" s="1654" t="s">
        <v>28</v>
      </c>
      <c r="W32" s="1655">
        <f t="shared" si="14"/>
        <v>100</v>
      </c>
      <c r="X32" s="1594"/>
      <c r="Y32" s="3600" t="s">
        <v>2036</v>
      </c>
      <c r="Z32" s="1656" t="str">
        <f t="shared" si="15"/>
        <v>建筑类型</v>
      </c>
      <c r="AA32" s="1657">
        <f t="shared" si="3"/>
        <v>1</v>
      </c>
      <c r="AB32" s="1657">
        <f t="shared" si="4"/>
        <v>1</v>
      </c>
      <c r="AC32" s="1657">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4"/>
      <c r="Q33" s="1695" t="str">
        <f t="shared" si="11"/>
        <v>项目建筑规模</v>
      </c>
      <c r="R33" s="1696" t="s">
        <v>28</v>
      </c>
      <c r="S33" s="1697" t="e">
        <f t="shared" si="12"/>
        <v>#N/A</v>
      </c>
      <c r="T33" s="1696" t="s">
        <v>28</v>
      </c>
      <c r="U33" s="1697" t="e">
        <f t="shared" si="13"/>
        <v>#N/A</v>
      </c>
      <c r="V33" s="1696" t="s">
        <v>28</v>
      </c>
      <c r="W33" s="1697" t="e">
        <f t="shared" si="14"/>
        <v>#N/A</v>
      </c>
      <c r="X33" s="1698"/>
      <c r="Y33" s="3600"/>
      <c r="Z33" s="1699" t="str">
        <f t="shared" si="15"/>
        <v>项目建筑规模</v>
      </c>
      <c r="AA33" s="1657" t="e">
        <f t="shared" si="3"/>
        <v>#N/A</v>
      </c>
      <c r="AB33" s="1657" t="e">
        <f t="shared" si="4"/>
        <v>#N/A</v>
      </c>
      <c r="AC33" s="1657"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4"/>
      <c r="Q34" s="1544" t="str">
        <f t="shared" si="11"/>
        <v>建筑结构</v>
      </c>
      <c r="R34" s="1654" t="s">
        <v>28</v>
      </c>
      <c r="S34" s="1655">
        <f t="shared" si="12"/>
        <v>100</v>
      </c>
      <c r="T34" s="1654" t="s">
        <v>28</v>
      </c>
      <c r="U34" s="1655">
        <f t="shared" si="13"/>
        <v>100</v>
      </c>
      <c r="V34" s="1654" t="s">
        <v>28</v>
      </c>
      <c r="W34" s="1655">
        <f t="shared" si="14"/>
        <v>100</v>
      </c>
      <c r="X34" s="1594"/>
      <c r="Y34" s="3600"/>
      <c r="Z34" s="1656" t="str">
        <f t="shared" si="15"/>
        <v>建筑结构</v>
      </c>
      <c r="AA34" s="1657">
        <f t="shared" si="3"/>
        <v>1</v>
      </c>
      <c r="AB34" s="1657">
        <f t="shared" si="4"/>
        <v>1</v>
      </c>
      <c r="AC34" s="1657">
        <f t="shared" si="5"/>
        <v>1</v>
      </c>
    </row>
    <row r="35" spans="1:29" ht="15">
      <c r="A35" s="1701"/>
      <c r="B35" s="1624" t="s">
        <v>2039</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4"/>
      <c r="Q35" s="1544" t="str">
        <f t="shared" si="11"/>
        <v>建筑品质</v>
      </c>
      <c r="R35" s="1654" t="s">
        <v>28</v>
      </c>
      <c r="S35" s="1655">
        <f t="shared" si="12"/>
        <v>100</v>
      </c>
      <c r="T35" s="1654" t="s">
        <v>28</v>
      </c>
      <c r="U35" s="1655">
        <f t="shared" si="13"/>
        <v>100</v>
      </c>
      <c r="V35" s="1654" t="s">
        <v>28</v>
      </c>
      <c r="W35" s="1655">
        <f t="shared" si="14"/>
        <v>100</v>
      </c>
      <c r="X35" s="1594"/>
      <c r="Y35" s="3600"/>
      <c r="Z35" s="1656" t="str">
        <f t="shared" si="15"/>
        <v>建筑品质</v>
      </c>
      <c r="AA35" s="1657">
        <f t="shared" si="3"/>
        <v>1</v>
      </c>
      <c r="AB35" s="1657">
        <f t="shared" si="4"/>
        <v>1</v>
      </c>
      <c r="AC35" s="1657">
        <f t="shared" si="5"/>
        <v>1</v>
      </c>
    </row>
    <row r="36" spans="1:29" ht="15">
      <c r="A36" s="1701"/>
      <c r="B36" s="1624" t="s">
        <v>2040</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4"/>
      <c r="Q36" s="1544" t="str">
        <f t="shared" si="11"/>
        <v>公共部分装修</v>
      </c>
      <c r="R36" s="1654" t="s">
        <v>28</v>
      </c>
      <c r="S36" s="1655">
        <f t="shared" si="12"/>
        <v>100</v>
      </c>
      <c r="T36" s="1654" t="s">
        <v>28</v>
      </c>
      <c r="U36" s="1655">
        <f t="shared" si="13"/>
        <v>100</v>
      </c>
      <c r="V36" s="1654" t="s">
        <v>28</v>
      </c>
      <c r="W36" s="1655">
        <f t="shared" si="14"/>
        <v>100</v>
      </c>
      <c r="X36" s="1594"/>
      <c r="Y36" s="3600"/>
      <c r="Z36" s="1656" t="str">
        <f t="shared" si="15"/>
        <v>公共部分装修</v>
      </c>
      <c r="AA36" s="1657">
        <f t="shared" si="3"/>
        <v>1</v>
      </c>
      <c r="AB36" s="1657">
        <f t="shared" si="4"/>
        <v>1</v>
      </c>
      <c r="AC36" s="1657">
        <f t="shared" si="5"/>
        <v>1</v>
      </c>
    </row>
    <row r="37" spans="1:29" s="1613" customFormat="1" ht="15">
      <c r="A37" s="1704"/>
      <c r="B37" s="1624" t="s">
        <v>2041</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4"/>
      <c r="Q37" s="1563" t="str">
        <f t="shared" si="11"/>
        <v>成新度</v>
      </c>
      <c r="R37" s="1609" t="s">
        <v>28</v>
      </c>
      <c r="S37" s="1610" t="e">
        <f t="shared" si="12"/>
        <v>#N/A</v>
      </c>
      <c r="T37" s="1609" t="s">
        <v>28</v>
      </c>
      <c r="U37" s="1610" t="e">
        <f t="shared" si="13"/>
        <v>#N/A</v>
      </c>
      <c r="V37" s="1609" t="s">
        <v>28</v>
      </c>
      <c r="W37" s="1610" t="e">
        <f t="shared" si="14"/>
        <v>#N/A</v>
      </c>
      <c r="X37" s="1611"/>
      <c r="Y37" s="3600"/>
      <c r="Z37" s="1622" t="str">
        <f t="shared" si="15"/>
        <v>成新度</v>
      </c>
      <c r="AA37" s="1612" t="e">
        <f t="shared" si="3"/>
        <v>#N/A</v>
      </c>
      <c r="AB37" s="1612" t="e">
        <f t="shared" si="4"/>
        <v>#N/A</v>
      </c>
      <c r="AC37" s="1612" t="e">
        <f t="shared" si="5"/>
        <v>#N/A</v>
      </c>
    </row>
    <row r="38" spans="1:29" ht="15">
      <c r="A38" s="1701"/>
      <c r="B38" s="1624" t="s">
        <v>2042</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4" t="s">
        <v>2036</v>
      </c>
      <c r="Q38" s="1544" t="str">
        <f t="shared" si="11"/>
        <v>物业管理</v>
      </c>
      <c r="R38" s="1654" t="s">
        <v>28</v>
      </c>
      <c r="S38" s="1655">
        <f t="shared" si="12"/>
        <v>100</v>
      </c>
      <c r="T38" s="1654" t="s">
        <v>28</v>
      </c>
      <c r="U38" s="1655">
        <f t="shared" si="13"/>
        <v>100</v>
      </c>
      <c r="V38" s="1654" t="s">
        <v>28</v>
      </c>
      <c r="W38" s="1655">
        <f t="shared" si="14"/>
        <v>100</v>
      </c>
      <c r="X38" s="1594"/>
      <c r="Y38" s="3600" t="s">
        <v>2036</v>
      </c>
      <c r="Z38" s="1656" t="str">
        <f t="shared" si="15"/>
        <v>物业管理</v>
      </c>
      <c r="AA38" s="1657">
        <f t="shared" si="3"/>
        <v>1</v>
      </c>
      <c r="AB38" s="1657">
        <f t="shared" si="4"/>
        <v>1</v>
      </c>
      <c r="AC38" s="1657">
        <f t="shared" si="5"/>
        <v>1</v>
      </c>
    </row>
    <row r="39" spans="1:29" ht="15">
      <c r="A39" s="1701"/>
      <c r="B39" s="1624" t="s">
        <v>2043</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4"/>
      <c r="Q39" s="1544" t="str">
        <f t="shared" si="11"/>
        <v>市政基础设施</v>
      </c>
      <c r="R39" s="1654" t="s">
        <v>28</v>
      </c>
      <c r="S39" s="1655">
        <f t="shared" si="12"/>
        <v>100</v>
      </c>
      <c r="T39" s="1654" t="s">
        <v>28</v>
      </c>
      <c r="U39" s="1655">
        <f t="shared" si="13"/>
        <v>100</v>
      </c>
      <c r="V39" s="1654" t="s">
        <v>28</v>
      </c>
      <c r="W39" s="1655">
        <f t="shared" si="14"/>
        <v>100</v>
      </c>
      <c r="X39" s="1594"/>
      <c r="Y39" s="3600"/>
      <c r="Z39" s="1656" t="str">
        <f t="shared" si="15"/>
        <v>市政基础设施</v>
      </c>
      <c r="AA39" s="1657">
        <f t="shared" si="3"/>
        <v>1</v>
      </c>
      <c r="AB39" s="1657">
        <f t="shared" si="4"/>
        <v>1</v>
      </c>
      <c r="AC39" s="1657">
        <f t="shared" si="5"/>
        <v>1</v>
      </c>
    </row>
    <row r="40" spans="1:29" ht="15">
      <c r="A40" s="1701"/>
      <c r="B40" s="1624" t="s">
        <v>2044</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4"/>
      <c r="Q40" s="1544" t="str">
        <f t="shared" si="11"/>
        <v>房型</v>
      </c>
      <c r="R40" s="1654" t="s">
        <v>28</v>
      </c>
      <c r="S40" s="1655">
        <f t="shared" si="12"/>
        <v>100</v>
      </c>
      <c r="T40" s="1654" t="s">
        <v>28</v>
      </c>
      <c r="U40" s="1655">
        <f t="shared" si="13"/>
        <v>100</v>
      </c>
      <c r="V40" s="1654" t="s">
        <v>28</v>
      </c>
      <c r="W40" s="1655">
        <f t="shared" si="14"/>
        <v>100</v>
      </c>
      <c r="X40" s="1594"/>
      <c r="Y40" s="3600"/>
      <c r="Z40" s="1656" t="str">
        <f t="shared" si="15"/>
        <v>房型</v>
      </c>
      <c r="AA40" s="1657">
        <f t="shared" si="3"/>
        <v>1</v>
      </c>
      <c r="AB40" s="1657">
        <f t="shared" si="4"/>
        <v>1</v>
      </c>
      <c r="AC40" s="1657">
        <f t="shared" si="5"/>
        <v>1</v>
      </c>
    </row>
    <row r="41" spans="1:29" s="1700" customFormat="1" ht="28.5">
      <c r="A41" s="1693"/>
      <c r="B41" s="1624" t="s">
        <v>2045</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4"/>
      <c r="Q41" s="1695" t="str">
        <f t="shared" si="11"/>
        <v>单套/主力户型建筑面积</v>
      </c>
      <c r="R41" s="1696" t="s">
        <v>28</v>
      </c>
      <c r="S41" s="1697">
        <f t="shared" si="12"/>
        <v>100</v>
      </c>
      <c r="T41" s="1696" t="s">
        <v>28</v>
      </c>
      <c r="U41" s="1697">
        <f t="shared" si="13"/>
        <v>100</v>
      </c>
      <c r="V41" s="1696" t="s">
        <v>28</v>
      </c>
      <c r="W41" s="1697">
        <f t="shared" si="14"/>
        <v>100</v>
      </c>
      <c r="X41" s="1698"/>
      <c r="Y41" s="3600"/>
      <c r="Z41" s="1699" t="str">
        <f t="shared" si="15"/>
        <v>单套/主力户型建筑面积</v>
      </c>
      <c r="AA41" s="1657">
        <f t="shared" si="3"/>
        <v>1</v>
      </c>
      <c r="AB41" s="1657">
        <f t="shared" si="4"/>
        <v>1</v>
      </c>
      <c r="AC41" s="1657">
        <f t="shared" si="5"/>
        <v>1</v>
      </c>
    </row>
    <row r="42" spans="1:29" ht="15">
      <c r="A42" s="1701"/>
      <c r="B42" s="1624" t="s">
        <v>2046</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4"/>
      <c r="Q42" s="1544" t="str">
        <f t="shared" si="11"/>
        <v>内部装修</v>
      </c>
      <c r="R42" s="1654" t="s">
        <v>28</v>
      </c>
      <c r="S42" s="1655">
        <f t="shared" si="12"/>
        <v>100</v>
      </c>
      <c r="T42" s="1654" t="s">
        <v>28</v>
      </c>
      <c r="U42" s="1655">
        <f t="shared" si="13"/>
        <v>100</v>
      </c>
      <c r="V42" s="1654" t="s">
        <v>28</v>
      </c>
      <c r="W42" s="1655">
        <f t="shared" si="14"/>
        <v>100</v>
      </c>
      <c r="X42" s="1594"/>
      <c r="Y42" s="3600"/>
      <c r="Z42" s="1656" t="str">
        <f t="shared" si="15"/>
        <v>内部装修</v>
      </c>
      <c r="AA42" s="1657">
        <f t="shared" si="3"/>
        <v>1</v>
      </c>
      <c r="AB42" s="1657">
        <f t="shared" si="4"/>
        <v>1</v>
      </c>
      <c r="AC42" s="1657">
        <f t="shared" si="5"/>
        <v>1</v>
      </c>
    </row>
    <row r="43" spans="1:29" ht="15">
      <c r="A43" s="1701"/>
      <c r="B43" s="1624" t="s">
        <v>2047</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4"/>
      <c r="Q43" s="1544" t="str">
        <f t="shared" si="11"/>
        <v>内部装修维护情况</v>
      </c>
      <c r="R43" s="1654" t="s">
        <v>28</v>
      </c>
      <c r="S43" s="1655">
        <f t="shared" si="12"/>
        <v>100</v>
      </c>
      <c r="T43" s="1654" t="s">
        <v>28</v>
      </c>
      <c r="U43" s="1655">
        <f t="shared" si="13"/>
        <v>100</v>
      </c>
      <c r="V43" s="1654" t="s">
        <v>28</v>
      </c>
      <c r="W43" s="1655">
        <f t="shared" si="14"/>
        <v>100</v>
      </c>
      <c r="X43" s="1594"/>
      <c r="Y43" s="3600"/>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4"/>
      <c r="Q44" s="1563">
        <f t="shared" si="11"/>
        <v>111</v>
      </c>
      <c r="R44" s="1609" t="s">
        <v>28</v>
      </c>
      <c r="S44" s="1610">
        <f t="shared" si="12"/>
        <v>100</v>
      </c>
      <c r="T44" s="1609" t="s">
        <v>28</v>
      </c>
      <c r="U44" s="1610">
        <f t="shared" si="13"/>
        <v>100</v>
      </c>
      <c r="V44" s="1609" t="s">
        <v>28</v>
      </c>
      <c r="W44" s="1610">
        <f t="shared" si="14"/>
        <v>100</v>
      </c>
      <c r="X44" s="1611"/>
      <c r="Y44" s="3600"/>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4"/>
      <c r="Q45" s="1544">
        <f t="shared" si="11"/>
        <v>111</v>
      </c>
      <c r="R45" s="1654" t="s">
        <v>28</v>
      </c>
      <c r="S45" s="1655">
        <f t="shared" si="12"/>
        <v>100</v>
      </c>
      <c r="T45" s="1654" t="s">
        <v>28</v>
      </c>
      <c r="U45" s="1655">
        <f t="shared" si="13"/>
        <v>100</v>
      </c>
      <c r="V45" s="1654" t="s">
        <v>28</v>
      </c>
      <c r="W45" s="1655">
        <f t="shared" si="14"/>
        <v>100</v>
      </c>
      <c r="X45" s="1594"/>
      <c r="Y45" s="3600"/>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5"/>
      <c r="Q46" s="1544">
        <f t="shared" si="11"/>
        <v>111</v>
      </c>
      <c r="R46" s="1654" t="s">
        <v>27</v>
      </c>
      <c r="S46" s="1655">
        <f t="shared" si="12"/>
        <v>100</v>
      </c>
      <c r="T46" s="1654" t="s">
        <v>27</v>
      </c>
      <c r="U46" s="1655">
        <f t="shared" si="13"/>
        <v>100</v>
      </c>
      <c r="V46" s="1654" t="s">
        <v>27</v>
      </c>
      <c r="W46" s="1655">
        <f t="shared" si="14"/>
        <v>100</v>
      </c>
      <c r="X46" s="1594"/>
      <c r="Y46" s="3601"/>
      <c r="Z46" s="1656">
        <f t="shared" si="15"/>
        <v>111</v>
      </c>
      <c r="AA46" s="1657">
        <f t="shared" si="3"/>
        <v>1</v>
      </c>
      <c r="AB46" s="1657">
        <f t="shared" si="4"/>
        <v>1</v>
      </c>
      <c r="AC46" s="1657">
        <f t="shared" si="5"/>
        <v>1</v>
      </c>
    </row>
    <row r="47" spans="1:29" ht="15">
      <c r="A47" s="1710" t="s">
        <v>2048</v>
      </c>
      <c r="B47" s="1711"/>
      <c r="C47" s="1712" t="s">
        <v>26</v>
      </c>
      <c r="D47" s="1713"/>
      <c r="E47" s="1714"/>
      <c r="F47" s="1715"/>
      <c r="G47" s="1716"/>
      <c r="H47" s="1717"/>
      <c r="I47" s="1714"/>
      <c r="J47" s="1717"/>
      <c r="K47" s="1718"/>
      <c r="L47" s="2921"/>
      <c r="N47" s="2916"/>
      <c r="P47" s="3569" t="str">
        <f>A47</f>
        <v>成交单价（元/平方米）</v>
      </c>
      <c r="Q47" s="3569"/>
      <c r="R47" s="3602">
        <f>E47</f>
        <v>0</v>
      </c>
      <c r="S47" s="3602"/>
      <c r="T47" s="3602">
        <f>G47</f>
        <v>0</v>
      </c>
      <c r="U47" s="3602"/>
      <c r="V47" s="3602">
        <f>I47</f>
        <v>0</v>
      </c>
      <c r="W47" s="3602"/>
      <c r="X47" s="1720"/>
      <c r="Y47" s="1721"/>
      <c r="Z47" s="1720"/>
      <c r="AA47" s="1720"/>
      <c r="AB47" s="1720"/>
      <c r="AC47" s="1720"/>
    </row>
    <row r="48" spans="1:29" ht="15.75" thickBot="1">
      <c r="A48" s="1722" t="s">
        <v>2049</v>
      </c>
      <c r="B48" s="1723"/>
      <c r="C48" s="1724" t="e">
        <f>R49</f>
        <v>#DIV/0!</v>
      </c>
      <c r="D48" s="1725" t="s">
        <v>2502</v>
      </c>
      <c r="E48" s="1726" t="e">
        <f>R48</f>
        <v>#DIV/0!</v>
      </c>
      <c r="F48" s="1727"/>
      <c r="G48" s="1724" t="e">
        <f>T48</f>
        <v>#DIV/0!</v>
      </c>
      <c r="H48" s="1727"/>
      <c r="I48" s="1726" t="e">
        <f>V48</f>
        <v>#DIV/0!</v>
      </c>
      <c r="J48" s="1727"/>
      <c r="K48" s="2430">
        <f>F48+H48+J48</f>
        <v>0</v>
      </c>
      <c r="L48" s="2921"/>
      <c r="P48" s="3569" t="str">
        <f>A48</f>
        <v>比较价值（元/平方米）</v>
      </c>
      <c r="Q48" s="3569"/>
      <c r="R48" s="3602" t="e">
        <f>IF(E1="售价",ROUND(PRODUCT(R47,AA7:AA46),0),ROUND(PRODUCT(R47,AA7:AA46),1))</f>
        <v>#DIV/0!</v>
      </c>
      <c r="S48" s="3602"/>
      <c r="T48" s="3639" t="e">
        <f>IF(E1="售价",ROUND(PRODUCT(T47,AB7:AB46),0),ROUND(PRODUCT(T47,AB7:AB46),1))</f>
        <v>#DIV/0!</v>
      </c>
      <c r="U48" s="3640"/>
      <c r="V48" s="3602" t="e">
        <f>IF(E1="售价",ROUND(PRODUCT(V47,AC7:AC46),0),ROUND(PRODUCT(V47,AC7:AC46),1))</f>
        <v>#DIV/0!</v>
      </c>
      <c r="W48" s="3602"/>
      <c r="X48" s="1720"/>
      <c r="Y48" s="1720"/>
      <c r="Z48" s="1720"/>
      <c r="AA48" s="1720"/>
      <c r="AB48" s="1720"/>
      <c r="AC48" s="1720"/>
    </row>
    <row r="49" spans="1:29" ht="15.75" thickBot="1">
      <c r="A49" s="1728" t="s">
        <v>2050</v>
      </c>
      <c r="B49" s="1729"/>
      <c r="C49" s="1730" t="e">
        <f>R49</f>
        <v>#DIV/0!</v>
      </c>
      <c r="D49" s="1731"/>
      <c r="E49" s="1731"/>
      <c r="F49" s="1731"/>
      <c r="G49" s="1731"/>
      <c r="H49" s="1731"/>
      <c r="I49" s="1731"/>
      <c r="J49" s="1731"/>
      <c r="K49" s="1732"/>
      <c r="L49" s="2921"/>
      <c r="P49" s="3603" t="str">
        <f>A49</f>
        <v>估价对象XX用房的比较价值（楼面单价，元/平方米）</v>
      </c>
      <c r="Q49" s="3604"/>
      <c r="R49" s="3605" t="e">
        <f>IF(E1="售价",ROUND(IF(D48="简单平均",AVERAGE(R48:V48),R48*F48+T48*H48+V48*J48),0),ROUND(IF(D48="简单平均",AVERAGE(R48:V48),R48*F48+T48*H48+V48*J48),1))</f>
        <v>#DIV/0!</v>
      </c>
      <c r="S49" s="3605"/>
      <c r="T49" s="3605"/>
      <c r="U49" s="3605"/>
      <c r="V49" s="3605"/>
      <c r="W49" s="3605"/>
      <c r="X49" s="1720"/>
      <c r="Y49" s="1720"/>
      <c r="Z49" s="1720"/>
      <c r="AA49" s="1720"/>
      <c r="AB49" s="1720"/>
      <c r="AC49" s="1720"/>
    </row>
    <row r="50" spans="1:29">
      <c r="G50" s="2925"/>
    </row>
    <row r="52" spans="1:29" ht="13.5" customHeight="1">
      <c r="C52" s="383" t="s">
        <v>2051</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2052</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2053</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2054</v>
      </c>
      <c r="B57" s="1720"/>
      <c r="C57" s="1746"/>
      <c r="D57" s="1746"/>
      <c r="E57" s="1746"/>
      <c r="F57" s="1746"/>
      <c r="G57" s="1746"/>
      <c r="H57" s="1746"/>
      <c r="I57" s="1746"/>
      <c r="J57" s="1746"/>
      <c r="K57" s="1747"/>
      <c r="L57" s="2923"/>
      <c r="M57" s="2924"/>
      <c r="N57" s="2924"/>
      <c r="O57" s="2924"/>
      <c r="P57" s="1749"/>
      <c r="Q57" s="1750"/>
    </row>
    <row r="58" spans="1:29" s="1756" customFormat="1" ht="15">
      <c r="A58" s="1751" t="s">
        <v>2055</v>
      </c>
      <c r="B58" s="1752"/>
      <c r="C58" s="1753" t="str">
        <f>YEAR(C7)&amp;"-"&amp;MONTH(C7)</f>
        <v>2022-4</v>
      </c>
      <c r="D58" s="1754">
        <f>EDATE(C58,-1)</f>
        <v>44621</v>
      </c>
      <c r="E58" s="1754">
        <f t="shared" ref="E58:O58" si="16">EDATE(D58,-1)</f>
        <v>44593</v>
      </c>
      <c r="F58" s="1754">
        <f t="shared" si="16"/>
        <v>44562</v>
      </c>
      <c r="G58" s="1754">
        <f t="shared" si="16"/>
        <v>44531</v>
      </c>
      <c r="H58" s="1754">
        <f t="shared" si="16"/>
        <v>44501</v>
      </c>
      <c r="I58" s="1754">
        <f t="shared" si="16"/>
        <v>44470</v>
      </c>
      <c r="J58" s="1754">
        <f t="shared" si="16"/>
        <v>44440</v>
      </c>
      <c r="K58" s="1754">
        <f t="shared" si="16"/>
        <v>44409</v>
      </c>
      <c r="L58" s="1754">
        <f t="shared" si="16"/>
        <v>44378</v>
      </c>
      <c r="M58" s="1754">
        <f t="shared" si="16"/>
        <v>44348</v>
      </c>
      <c r="N58" s="1754">
        <f t="shared" si="16"/>
        <v>44317</v>
      </c>
      <c r="O58" s="1754">
        <f t="shared" si="16"/>
        <v>44287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2057</v>
      </c>
      <c r="B61" s="1758"/>
      <c r="C61" s="1769" t="s">
        <v>2058</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2059</v>
      </c>
      <c r="B63" s="1776" t="s">
        <v>2024</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2028</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2081</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2082</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2034</v>
      </c>
      <c r="B100" s="1776" t="s">
        <v>2083</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2085</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2087</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2089</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2090</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2091</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2045</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5.75"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c r="B147" s="1501" t="s">
        <v>2112</v>
      </c>
    </row>
    <row r="148" spans="2:11">
      <c r="B148" s="1501"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2114</v>
      </c>
      <c r="C1" s="1567"/>
      <c r="D1" s="2388"/>
      <c r="E1" s="1569"/>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2004</v>
      </c>
      <c r="D3" s="1588">
        <f>IF(C1="仅计算典型户型",'数据-取费表'!E5,'数据-取费表'!B5)</f>
        <v>176.29</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2005</v>
      </c>
      <c r="B4" s="1592"/>
      <c r="C4" s="3577" t="s">
        <v>2006</v>
      </c>
      <c r="D4" s="3578"/>
      <c r="E4" s="3579" t="s">
        <v>2007</v>
      </c>
      <c r="F4" s="3580"/>
      <c r="G4" s="3577" t="s">
        <v>2008</v>
      </c>
      <c r="H4" s="3578"/>
      <c r="I4" s="3577" t="s">
        <v>2009</v>
      </c>
      <c r="J4" s="3578"/>
      <c r="K4" s="1894" t="s">
        <v>2010</v>
      </c>
      <c r="L4" s="2915"/>
      <c r="M4" s="2916"/>
      <c r="N4" s="2916"/>
      <c r="O4" s="2916"/>
      <c r="P4" s="3581" t="s">
        <v>2011</v>
      </c>
      <c r="Q4" s="3582"/>
      <c r="R4" s="3587" t="s">
        <v>2007</v>
      </c>
      <c r="S4" s="3588"/>
      <c r="T4" s="3587" t="s">
        <v>2008</v>
      </c>
      <c r="U4" s="3588"/>
      <c r="V4" s="3593" t="s">
        <v>2009</v>
      </c>
      <c r="W4" s="3593"/>
      <c r="X4" s="2003"/>
      <c r="Y4" s="3587" t="s">
        <v>2011</v>
      </c>
      <c r="Z4" s="3588"/>
      <c r="AA4" s="3574" t="s">
        <v>2007</v>
      </c>
      <c r="AB4" s="3593" t="s">
        <v>2008</v>
      </c>
      <c r="AC4" s="3574" t="s">
        <v>2009</v>
      </c>
    </row>
    <row r="5" spans="1:29" ht="15">
      <c r="A5" s="1596"/>
      <c r="B5" s="1597"/>
      <c r="C5" s="3570" t="s">
        <v>2012</v>
      </c>
      <c r="D5" s="3571"/>
      <c r="E5" s="3594" t="s">
        <v>2013</v>
      </c>
      <c r="F5" s="3595"/>
      <c r="G5" s="3570" t="s">
        <v>2014</v>
      </c>
      <c r="H5" s="3571"/>
      <c r="I5" s="3570" t="s">
        <v>2015</v>
      </c>
      <c r="J5" s="3571"/>
      <c r="K5" s="1894"/>
      <c r="L5" s="2915"/>
      <c r="M5" s="2916"/>
      <c r="N5" s="2916"/>
      <c r="O5" s="2916"/>
      <c r="P5" s="3583"/>
      <c r="Q5" s="3584"/>
      <c r="R5" s="3589"/>
      <c r="S5" s="3590"/>
      <c r="T5" s="3589"/>
      <c r="U5" s="3590"/>
      <c r="V5" s="3593"/>
      <c r="W5" s="3593"/>
      <c r="X5" s="2003"/>
      <c r="Y5" s="3589"/>
      <c r="Z5" s="3590"/>
      <c r="AA5" s="3575"/>
      <c r="AB5" s="3593"/>
      <c r="AC5" s="3575"/>
    </row>
    <row r="6" spans="1:29" ht="15.75" thickBot="1">
      <c r="A6" s="1599"/>
      <c r="B6" s="1600"/>
      <c r="C6" s="3567" t="s">
        <v>2016</v>
      </c>
      <c r="D6" s="3568"/>
      <c r="E6" s="3565" t="s">
        <v>2016</v>
      </c>
      <c r="F6" s="3566"/>
      <c r="G6" s="3567" t="s">
        <v>2016</v>
      </c>
      <c r="H6" s="3568"/>
      <c r="I6" s="3567" t="s">
        <v>2016</v>
      </c>
      <c r="J6" s="3568"/>
      <c r="K6" s="1894" t="s">
        <v>2017</v>
      </c>
      <c r="L6" s="2915"/>
      <c r="M6" s="2916"/>
      <c r="N6" s="2916"/>
      <c r="O6" s="2916"/>
      <c r="P6" s="3585"/>
      <c r="Q6" s="3586"/>
      <c r="R6" s="3589"/>
      <c r="S6" s="3590"/>
      <c r="T6" s="3591"/>
      <c r="U6" s="3592"/>
      <c r="V6" s="3593"/>
      <c r="W6" s="3593"/>
      <c r="X6" s="2003"/>
      <c r="Y6" s="3591"/>
      <c r="Z6" s="3592"/>
      <c r="AA6" s="3576"/>
      <c r="AB6" s="3593"/>
      <c r="AC6" s="3576"/>
    </row>
    <row r="7" spans="1:29" s="1613" customFormat="1" ht="15.75" thickBot="1">
      <c r="A7" s="1601" t="s">
        <v>2018</v>
      </c>
      <c r="B7" s="1602"/>
      <c r="C7" s="1603">
        <f>'数据-取费表'!B2</f>
        <v>44676</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72" t="s">
        <v>2019</v>
      </c>
      <c r="Q7" s="3596"/>
      <c r="R7" s="1609" t="s">
        <v>25</v>
      </c>
      <c r="S7" s="1610">
        <f t="shared" ref="S7:S15" si="0">F7</f>
        <v>0</v>
      </c>
      <c r="T7" s="1609" t="s">
        <v>25</v>
      </c>
      <c r="U7" s="1610">
        <f t="shared" ref="U7:U15" si="1">H7</f>
        <v>0</v>
      </c>
      <c r="V7" s="1609" t="s">
        <v>25</v>
      </c>
      <c r="W7" s="1610">
        <f t="shared" ref="W7:W15" si="2">J7</f>
        <v>0</v>
      </c>
      <c r="X7" s="1611"/>
      <c r="Y7" s="3572" t="s">
        <v>2019</v>
      </c>
      <c r="Z7" s="3573"/>
      <c r="AA7" s="1612" t="e">
        <f>D7/F7</f>
        <v>#DIV/0!</v>
      </c>
      <c r="AB7" s="1612" t="e">
        <f>D7/H7</f>
        <v>#DIV/0!</v>
      </c>
      <c r="AC7" s="1612" t="e">
        <f>D7/J7</f>
        <v>#DIV/0!</v>
      </c>
    </row>
    <row r="8" spans="1:29" s="1613" customFormat="1" ht="15.75" thickBot="1">
      <c r="A8" s="1601" t="s">
        <v>2020</v>
      </c>
      <c r="B8" s="1602"/>
      <c r="C8" s="1614" t="s">
        <v>2021</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72" t="s">
        <v>2022</v>
      </c>
      <c r="Q8" s="3573"/>
      <c r="R8" s="1609" t="s">
        <v>25</v>
      </c>
      <c r="S8" s="1610">
        <f t="shared" si="0"/>
        <v>0</v>
      </c>
      <c r="T8" s="1609" t="s">
        <v>25</v>
      </c>
      <c r="U8" s="1610">
        <f t="shared" si="1"/>
        <v>0</v>
      </c>
      <c r="V8" s="1609" t="s">
        <v>25</v>
      </c>
      <c r="W8" s="1610">
        <f t="shared" si="2"/>
        <v>0</v>
      </c>
      <c r="X8" s="1611"/>
      <c r="Y8" s="3572" t="s">
        <v>2022</v>
      </c>
      <c r="Z8" s="3573"/>
      <c r="AA8" s="1612" t="e">
        <f t="shared" ref="AA8:AA46" si="3">D8/F8</f>
        <v>#DIV/0!</v>
      </c>
      <c r="AB8" s="1612" t="e">
        <f t="shared" ref="AB8:AB46" si="4">D8/H8</f>
        <v>#DIV/0!</v>
      </c>
      <c r="AC8" s="1612" t="e">
        <f t="shared" ref="AC8:AC46" si="5">D8/J8</f>
        <v>#DIV/0!</v>
      </c>
    </row>
    <row r="9" spans="1:29" s="1613" customFormat="1">
      <c r="A9" s="1995" t="s">
        <v>2023</v>
      </c>
      <c r="B9" s="1616" t="s">
        <v>2024</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36" t="s">
        <v>2025</v>
      </c>
      <c r="Q9" s="1994" t="str">
        <f t="shared" ref="Q9:Q15" si="6">B9</f>
        <v>用途</v>
      </c>
      <c r="R9" s="1609" t="s">
        <v>25</v>
      </c>
      <c r="S9" s="1610">
        <f t="shared" si="0"/>
        <v>100</v>
      </c>
      <c r="T9" s="1609" t="s">
        <v>25</v>
      </c>
      <c r="U9" s="1610">
        <f t="shared" si="1"/>
        <v>100</v>
      </c>
      <c r="V9" s="1609" t="s">
        <v>25</v>
      </c>
      <c r="W9" s="1610">
        <f t="shared" si="2"/>
        <v>100</v>
      </c>
      <c r="X9" s="1611"/>
      <c r="Y9" s="3495"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36"/>
      <c r="Q10" s="1994" t="str">
        <f t="shared" si="6"/>
        <v>土地使用年限（年）</v>
      </c>
      <c r="R10" s="1609" t="s">
        <v>25</v>
      </c>
      <c r="S10" s="1610">
        <f t="shared" si="0"/>
        <v>100</v>
      </c>
      <c r="T10" s="1609" t="s">
        <v>25</v>
      </c>
      <c r="U10" s="1610">
        <f t="shared" si="1"/>
        <v>100</v>
      </c>
      <c r="V10" s="1609" t="s">
        <v>25</v>
      </c>
      <c r="W10" s="1610">
        <f t="shared" si="2"/>
        <v>100</v>
      </c>
      <c r="X10" s="1611"/>
      <c r="Y10" s="3495"/>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36"/>
      <c r="Q11" s="1994" t="str">
        <f t="shared" si="6"/>
        <v>容积率</v>
      </c>
      <c r="R11" s="1609" t="s">
        <v>25</v>
      </c>
      <c r="S11" s="1610" t="e">
        <f t="shared" si="0"/>
        <v>#N/A</v>
      </c>
      <c r="T11" s="1609" t="s">
        <v>25</v>
      </c>
      <c r="U11" s="1610" t="e">
        <f t="shared" si="1"/>
        <v>#N/A</v>
      </c>
      <c r="V11" s="1609" t="s">
        <v>25</v>
      </c>
      <c r="W11" s="1610" t="e">
        <f t="shared" si="2"/>
        <v>#N/A</v>
      </c>
      <c r="X11" s="1611"/>
      <c r="Y11" s="349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36"/>
      <c r="Q12" s="1994">
        <f t="shared" si="6"/>
        <v>111</v>
      </c>
      <c r="R12" s="1609" t="s">
        <v>25</v>
      </c>
      <c r="S12" s="1610">
        <f t="shared" si="0"/>
        <v>100</v>
      </c>
      <c r="T12" s="1609" t="s">
        <v>25</v>
      </c>
      <c r="U12" s="1610">
        <f t="shared" si="1"/>
        <v>100</v>
      </c>
      <c r="V12" s="1609" t="s">
        <v>25</v>
      </c>
      <c r="W12" s="1610">
        <f t="shared" si="2"/>
        <v>100</v>
      </c>
      <c r="X12" s="1611"/>
      <c r="Y12" s="349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36"/>
      <c r="Q13" s="1994">
        <f t="shared" si="6"/>
        <v>111</v>
      </c>
      <c r="R13" s="1609" t="s">
        <v>25</v>
      </c>
      <c r="S13" s="1610">
        <f t="shared" si="0"/>
        <v>100</v>
      </c>
      <c r="T13" s="1609" t="s">
        <v>25</v>
      </c>
      <c r="U13" s="1610">
        <f t="shared" si="1"/>
        <v>100</v>
      </c>
      <c r="V13" s="1609" t="s">
        <v>25</v>
      </c>
      <c r="W13" s="1610">
        <f t="shared" si="2"/>
        <v>100</v>
      </c>
      <c r="X13" s="1611"/>
      <c r="Y13" s="3495"/>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36"/>
      <c r="Q14" s="1994">
        <f t="shared" si="6"/>
        <v>111</v>
      </c>
      <c r="R14" s="1609" t="s">
        <v>25</v>
      </c>
      <c r="S14" s="1610">
        <f t="shared" si="0"/>
        <v>100</v>
      </c>
      <c r="T14" s="1609" t="s">
        <v>25</v>
      </c>
      <c r="U14" s="1610">
        <f t="shared" si="1"/>
        <v>100</v>
      </c>
      <c r="V14" s="1609" t="s">
        <v>25</v>
      </c>
      <c r="W14" s="1610">
        <f t="shared" si="2"/>
        <v>100</v>
      </c>
      <c r="X14" s="1611"/>
      <c r="Y14" s="3495"/>
      <c r="Z14" s="1622">
        <f t="shared" si="7"/>
        <v>111</v>
      </c>
      <c r="AA14" s="1612">
        <f t="shared" si="3"/>
        <v>1</v>
      </c>
      <c r="AB14" s="1612">
        <f t="shared" si="4"/>
        <v>1</v>
      </c>
      <c r="AC14" s="1612">
        <f t="shared" si="5"/>
        <v>1</v>
      </c>
    </row>
    <row r="15" spans="1:29" ht="71.25">
      <c r="A15" s="1646" t="s">
        <v>2029</v>
      </c>
      <c r="B15" s="1647" t="s">
        <v>2115</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7" t="s">
        <v>2030</v>
      </c>
      <c r="Q15" s="2000" t="str">
        <f t="shared" si="6"/>
        <v>商业繁华度</v>
      </c>
      <c r="R15" s="1654" t="s">
        <v>25</v>
      </c>
      <c r="S15" s="1655">
        <f t="shared" si="0"/>
        <v>100</v>
      </c>
      <c r="T15" s="1654" t="s">
        <v>25</v>
      </c>
      <c r="U15" s="1655">
        <f t="shared" si="1"/>
        <v>100</v>
      </c>
      <c r="V15" s="1654" t="s">
        <v>25</v>
      </c>
      <c r="W15" s="1655">
        <f t="shared" si="2"/>
        <v>100</v>
      </c>
      <c r="X15" s="2003"/>
      <c r="Y15" s="3597" t="s">
        <v>2030</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38"/>
      <c r="Q16" s="2000"/>
      <c r="R16" s="1654"/>
      <c r="S16" s="1655"/>
      <c r="T16" s="1654"/>
      <c r="U16" s="1655"/>
      <c r="V16" s="1654"/>
      <c r="W16" s="1655"/>
      <c r="X16" s="2003"/>
      <c r="Y16" s="3598"/>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8"/>
      <c r="Q17" s="2000" t="str">
        <f>B17</f>
        <v>交通便捷度</v>
      </c>
      <c r="R17" s="1654" t="s">
        <v>25</v>
      </c>
      <c r="S17" s="1655">
        <f>F17</f>
        <v>100</v>
      </c>
      <c r="T17" s="1654" t="s">
        <v>25</v>
      </c>
      <c r="U17" s="1655">
        <f>H17</f>
        <v>100</v>
      </c>
      <c r="V17" s="1654" t="s">
        <v>25</v>
      </c>
      <c r="W17" s="1655">
        <f>J17</f>
        <v>100</v>
      </c>
      <c r="X17" s="2003"/>
      <c r="Y17" s="3598"/>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38"/>
      <c r="Q18" s="2000"/>
      <c r="R18" s="1654"/>
      <c r="S18" s="1655"/>
      <c r="T18" s="1654"/>
      <c r="U18" s="1655"/>
      <c r="V18" s="1654"/>
      <c r="W18" s="1655"/>
      <c r="X18" s="2003"/>
      <c r="Y18" s="3598"/>
      <c r="Z18" s="2007"/>
      <c r="AA18" s="1998">
        <v>1</v>
      </c>
      <c r="AB18" s="1998">
        <v>1</v>
      </c>
      <c r="AC18" s="1998">
        <v>1</v>
      </c>
    </row>
    <row r="19" spans="1:29" ht="42.75">
      <c r="A19" s="1631"/>
      <c r="B19" s="1666" t="s">
        <v>2116</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8"/>
      <c r="Q19" s="2000" t="str">
        <f>B19</f>
        <v>公共配套设施</v>
      </c>
      <c r="R19" s="1654" t="s">
        <v>25</v>
      </c>
      <c r="S19" s="1655">
        <f>F19</f>
        <v>100</v>
      </c>
      <c r="T19" s="1654" t="s">
        <v>25</v>
      </c>
      <c r="U19" s="1655">
        <f>H19</f>
        <v>100</v>
      </c>
      <c r="V19" s="1654" t="s">
        <v>25</v>
      </c>
      <c r="W19" s="1655">
        <f>J19</f>
        <v>100</v>
      </c>
      <c r="X19" s="2003"/>
      <c r="Y19" s="3598"/>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38"/>
      <c r="Q20" s="2000"/>
      <c r="R20" s="1654"/>
      <c r="S20" s="1655"/>
      <c r="T20" s="1654"/>
      <c r="U20" s="1655"/>
      <c r="V20" s="1654"/>
      <c r="W20" s="1655"/>
      <c r="X20" s="2003"/>
      <c r="Y20" s="3598"/>
      <c r="Z20" s="2007"/>
      <c r="AA20" s="1998">
        <v>1</v>
      </c>
      <c r="AB20" s="1998">
        <v>1</v>
      </c>
      <c r="AC20" s="1998">
        <v>1</v>
      </c>
    </row>
    <row r="21" spans="1:29" ht="28.5">
      <c r="A21" s="1631"/>
      <c r="B21" s="1679" t="s">
        <v>2117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8"/>
      <c r="Q21" s="2000" t="str">
        <f>B21</f>
        <v>基础设施水平</v>
      </c>
      <c r="R21" s="1654" t="s">
        <v>25</v>
      </c>
      <c r="S21" s="1655">
        <f>F21</f>
        <v>100</v>
      </c>
      <c r="T21" s="1654" t="s">
        <v>25</v>
      </c>
      <c r="U21" s="1655">
        <f>H21</f>
        <v>100</v>
      </c>
      <c r="V21" s="1654" t="s">
        <v>25</v>
      </c>
      <c r="W21" s="1655">
        <f>J21</f>
        <v>100</v>
      </c>
      <c r="X21" s="2003"/>
      <c r="Y21" s="3598"/>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38"/>
      <c r="Q22" s="2000"/>
      <c r="R22" s="1654"/>
      <c r="S22" s="1655"/>
      <c r="T22" s="1654"/>
      <c r="U22" s="1655"/>
      <c r="V22" s="1654"/>
      <c r="W22" s="1655"/>
      <c r="X22" s="2003"/>
      <c r="Y22" s="3598"/>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8"/>
      <c r="Q23" s="2000" t="str">
        <f>B23</f>
        <v>自然及人文环境</v>
      </c>
      <c r="R23" s="1654" t="s">
        <v>25</v>
      </c>
      <c r="S23" s="1655">
        <f>F23</f>
        <v>100</v>
      </c>
      <c r="T23" s="1654" t="s">
        <v>25</v>
      </c>
      <c r="U23" s="1655">
        <f>H23</f>
        <v>100</v>
      </c>
      <c r="V23" s="1654" t="s">
        <v>25</v>
      </c>
      <c r="W23" s="1655">
        <f>J23</f>
        <v>100</v>
      </c>
      <c r="X23" s="2003"/>
      <c r="Y23" s="3598"/>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38"/>
      <c r="Q24" s="2000"/>
      <c r="R24" s="1654"/>
      <c r="S24" s="1655"/>
      <c r="T24" s="1654"/>
      <c r="U24" s="1655"/>
      <c r="V24" s="1654"/>
      <c r="W24" s="1655"/>
      <c r="X24" s="2003"/>
      <c r="Y24" s="3598"/>
      <c r="Z24" s="2007"/>
      <c r="AA24" s="1998">
        <v>1</v>
      </c>
      <c r="AB24" s="1998">
        <v>1</v>
      </c>
      <c r="AC24" s="1998">
        <v>1</v>
      </c>
    </row>
    <row r="25" spans="1:29" ht="15">
      <c r="A25" s="1631"/>
      <c r="B25" s="1624" t="s">
        <v>2118</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38"/>
      <c r="Q25" s="2000" t="str">
        <f t="shared" ref="Q25:Q46" si="11">B25</f>
        <v>临街状况</v>
      </c>
      <c r="R25" s="1654" t="s">
        <v>25</v>
      </c>
      <c r="S25" s="1655">
        <f>F25</f>
        <v>100</v>
      </c>
      <c r="T25" s="1654" t="s">
        <v>25</v>
      </c>
      <c r="U25" s="1655">
        <f>H25</f>
        <v>100</v>
      </c>
      <c r="V25" s="1654" t="s">
        <v>25</v>
      </c>
      <c r="W25" s="1655">
        <f>J25</f>
        <v>100</v>
      </c>
      <c r="X25" s="2003"/>
      <c r="Y25" s="3598"/>
      <c r="Z25" s="2007" t="str">
        <f>Q25</f>
        <v>临街状况</v>
      </c>
      <c r="AA25" s="1998">
        <f t="shared" si="3"/>
        <v>1</v>
      </c>
      <c r="AB25" s="1998">
        <f t="shared" si="4"/>
        <v>1</v>
      </c>
      <c r="AC25" s="1998">
        <f t="shared" si="5"/>
        <v>1</v>
      </c>
    </row>
    <row r="26" spans="1:29" ht="15">
      <c r="A26" s="1631"/>
      <c r="B26" s="1689" t="s">
        <v>2119</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8"/>
      <c r="Q26" s="2000" t="str">
        <f t="shared" si="11"/>
        <v>平面位置/可视性</v>
      </c>
      <c r="R26" s="1654" t="s">
        <v>25</v>
      </c>
      <c r="S26" s="1655">
        <f>F26</f>
        <v>100</v>
      </c>
      <c r="T26" s="1654" t="s">
        <v>25</v>
      </c>
      <c r="U26" s="1655">
        <f>H26</f>
        <v>100</v>
      </c>
      <c r="V26" s="1654" t="s">
        <v>25</v>
      </c>
      <c r="W26" s="1655">
        <f>J26</f>
        <v>100</v>
      </c>
      <c r="X26" s="2003"/>
      <c r="Y26" s="3598"/>
      <c r="Z26" s="2007" t="str">
        <f>Q26</f>
        <v>平面位置/可视性</v>
      </c>
      <c r="AA26" s="1998">
        <f t="shared" si="3"/>
        <v>1</v>
      </c>
      <c r="AB26" s="1998">
        <f t="shared" si="4"/>
        <v>1</v>
      </c>
      <c r="AC26" s="1998">
        <f t="shared" si="5"/>
        <v>1</v>
      </c>
    </row>
    <row r="27" spans="1:29" s="1613" customFormat="1" ht="15">
      <c r="A27" s="1634"/>
      <c r="B27" s="1666" t="s">
        <v>2120</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8"/>
      <c r="Q27" s="1994" t="str">
        <f t="shared" si="11"/>
        <v>人流量</v>
      </c>
      <c r="R27" s="1609" t="s">
        <v>25</v>
      </c>
      <c r="S27" s="1610">
        <f>F27</f>
        <v>100</v>
      </c>
      <c r="T27" s="1609" t="s">
        <v>25</v>
      </c>
      <c r="U27" s="1610">
        <f>H27</f>
        <v>100</v>
      </c>
      <c r="V27" s="1609" t="s">
        <v>25</v>
      </c>
      <c r="W27" s="1610">
        <f>J27</f>
        <v>100</v>
      </c>
      <c r="X27" s="1611"/>
      <c r="Y27" s="3598"/>
      <c r="Z27" s="1622" t="str">
        <f>Q27</f>
        <v>人流量</v>
      </c>
      <c r="AA27" s="1998">
        <f>D27/F27</f>
        <v>1</v>
      </c>
      <c r="AB27" s="1998">
        <f>D27/H27</f>
        <v>1</v>
      </c>
      <c r="AC27" s="1998">
        <f>D27/J27</f>
        <v>1</v>
      </c>
    </row>
    <row r="28" spans="1:29" ht="15">
      <c r="A28" s="1631"/>
      <c r="B28" s="1624" t="s">
        <v>2121</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38"/>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8"/>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8"/>
      <c r="Q29" s="2000">
        <f t="shared" si="11"/>
        <v>111</v>
      </c>
      <c r="R29" s="1654" t="s">
        <v>25</v>
      </c>
      <c r="S29" s="1655">
        <f t="shared" si="12"/>
        <v>100</v>
      </c>
      <c r="T29" s="1654" t="s">
        <v>25</v>
      </c>
      <c r="U29" s="1655">
        <f t="shared" si="13"/>
        <v>100</v>
      </c>
      <c r="V29" s="1654" t="s">
        <v>25</v>
      </c>
      <c r="W29" s="1655">
        <f t="shared" si="14"/>
        <v>100</v>
      </c>
      <c r="X29" s="2003"/>
      <c r="Y29" s="3598"/>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8"/>
      <c r="Q30" s="2000">
        <f t="shared" si="11"/>
        <v>111</v>
      </c>
      <c r="R30" s="1654" t="s">
        <v>25</v>
      </c>
      <c r="S30" s="1655">
        <f t="shared" si="12"/>
        <v>100</v>
      </c>
      <c r="T30" s="1654" t="s">
        <v>25</v>
      </c>
      <c r="U30" s="1655">
        <f t="shared" si="13"/>
        <v>100</v>
      </c>
      <c r="V30" s="1654" t="s">
        <v>25</v>
      </c>
      <c r="W30" s="1655">
        <f t="shared" si="14"/>
        <v>100</v>
      </c>
      <c r="X30" s="2003"/>
      <c r="Y30" s="3598"/>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8"/>
      <c r="Q31" s="2000">
        <f t="shared" si="11"/>
        <v>111</v>
      </c>
      <c r="R31" s="1654" t="s">
        <v>25</v>
      </c>
      <c r="S31" s="1655">
        <f t="shared" si="12"/>
        <v>100</v>
      </c>
      <c r="T31" s="1654" t="s">
        <v>25</v>
      </c>
      <c r="U31" s="1655">
        <f t="shared" si="13"/>
        <v>100</v>
      </c>
      <c r="V31" s="1654" t="s">
        <v>25</v>
      </c>
      <c r="W31" s="1655">
        <f t="shared" si="14"/>
        <v>100</v>
      </c>
      <c r="X31" s="2003"/>
      <c r="Y31" s="3598"/>
      <c r="Z31" s="2007">
        <f t="shared" si="15"/>
        <v>111</v>
      </c>
      <c r="AA31" s="1998">
        <f t="shared" si="3"/>
        <v>1</v>
      </c>
      <c r="AB31" s="1998">
        <f t="shared" si="4"/>
        <v>1</v>
      </c>
      <c r="AC31" s="1998">
        <f t="shared" si="5"/>
        <v>1</v>
      </c>
    </row>
    <row r="32" spans="1:29" ht="15">
      <c r="A32" s="1646" t="s">
        <v>2034</v>
      </c>
      <c r="B32" s="1616" t="s">
        <v>2122</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3" t="s">
        <v>2036</v>
      </c>
      <c r="Q32" s="2000" t="str">
        <f t="shared" si="11"/>
        <v>商业类型</v>
      </c>
      <c r="R32" s="1654" t="s">
        <v>25</v>
      </c>
      <c r="S32" s="1655">
        <f t="shared" si="12"/>
        <v>100</v>
      </c>
      <c r="T32" s="1654" t="s">
        <v>25</v>
      </c>
      <c r="U32" s="1655">
        <f t="shared" si="13"/>
        <v>100</v>
      </c>
      <c r="V32" s="1654" t="s">
        <v>25</v>
      </c>
      <c r="W32" s="1655">
        <f t="shared" si="14"/>
        <v>100</v>
      </c>
      <c r="X32" s="2003"/>
      <c r="Y32" s="3600" t="s">
        <v>2036</v>
      </c>
      <c r="Z32" s="2007" t="str">
        <f t="shared" si="15"/>
        <v>商业类型</v>
      </c>
      <c r="AA32" s="1998">
        <f t="shared" si="3"/>
        <v>1</v>
      </c>
      <c r="AB32" s="1998">
        <f t="shared" si="4"/>
        <v>1</v>
      </c>
      <c r="AC32" s="1998">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4"/>
      <c r="Q33" s="1695" t="str">
        <f t="shared" si="11"/>
        <v>项目建筑规模</v>
      </c>
      <c r="R33" s="1696" t="s">
        <v>25</v>
      </c>
      <c r="S33" s="1697" t="e">
        <f t="shared" si="12"/>
        <v>#N/A</v>
      </c>
      <c r="T33" s="1696" t="s">
        <v>25</v>
      </c>
      <c r="U33" s="1697" t="e">
        <f t="shared" si="13"/>
        <v>#N/A</v>
      </c>
      <c r="V33" s="1696" t="s">
        <v>25</v>
      </c>
      <c r="W33" s="1697" t="e">
        <f t="shared" si="14"/>
        <v>#N/A</v>
      </c>
      <c r="X33" s="1698"/>
      <c r="Y33" s="3600"/>
      <c r="Z33" s="1699" t="str">
        <f t="shared" si="15"/>
        <v>项目建筑规模</v>
      </c>
      <c r="AA33" s="1998" t="e">
        <f t="shared" si="3"/>
        <v>#N/A</v>
      </c>
      <c r="AB33" s="1998" t="e">
        <f t="shared" si="4"/>
        <v>#N/A</v>
      </c>
      <c r="AC33" s="1998"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4"/>
      <c r="Q34" s="2000" t="str">
        <f t="shared" si="11"/>
        <v>建筑结构</v>
      </c>
      <c r="R34" s="1654" t="s">
        <v>25</v>
      </c>
      <c r="S34" s="1655">
        <f t="shared" si="12"/>
        <v>100</v>
      </c>
      <c r="T34" s="1654" t="s">
        <v>25</v>
      </c>
      <c r="U34" s="1655">
        <f t="shared" si="13"/>
        <v>100</v>
      </c>
      <c r="V34" s="1654" t="s">
        <v>25</v>
      </c>
      <c r="W34" s="1655">
        <f t="shared" si="14"/>
        <v>100</v>
      </c>
      <c r="X34" s="2003"/>
      <c r="Y34" s="3600"/>
      <c r="Z34" s="2007" t="str">
        <f t="shared" si="15"/>
        <v>建筑结构</v>
      </c>
      <c r="AA34" s="1998">
        <f t="shared" si="3"/>
        <v>1</v>
      </c>
      <c r="AB34" s="1998">
        <f t="shared" si="4"/>
        <v>1</v>
      </c>
      <c r="AC34" s="1998">
        <f t="shared" si="5"/>
        <v>1</v>
      </c>
    </row>
    <row r="35" spans="1:29" ht="15">
      <c r="A35" s="1701"/>
      <c r="B35" s="1624" t="s">
        <v>2123</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4"/>
      <c r="Q35" s="2000" t="str">
        <f t="shared" si="11"/>
        <v>公共部分装修</v>
      </c>
      <c r="R35" s="1654" t="s">
        <v>25</v>
      </c>
      <c r="S35" s="1655">
        <f t="shared" si="12"/>
        <v>100</v>
      </c>
      <c r="T35" s="1654" t="s">
        <v>25</v>
      </c>
      <c r="U35" s="1655">
        <f t="shared" si="13"/>
        <v>100</v>
      </c>
      <c r="V35" s="1654" t="s">
        <v>25</v>
      </c>
      <c r="W35" s="1655">
        <f t="shared" si="14"/>
        <v>100</v>
      </c>
      <c r="X35" s="2003"/>
      <c r="Y35" s="3600"/>
      <c r="Z35" s="2007" t="str">
        <f t="shared" si="15"/>
        <v>公共部分装修</v>
      </c>
      <c r="AA35" s="1998">
        <f t="shared" si="3"/>
        <v>1</v>
      </c>
      <c r="AB35" s="1998">
        <f t="shared" si="4"/>
        <v>1</v>
      </c>
      <c r="AC35" s="1998">
        <f t="shared" si="5"/>
        <v>1</v>
      </c>
    </row>
    <row r="36" spans="1:29" ht="15">
      <c r="A36" s="1701"/>
      <c r="B36" s="1624" t="s">
        <v>2124</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4"/>
      <c r="Q36" s="2000" t="str">
        <f t="shared" si="11"/>
        <v>成新度</v>
      </c>
      <c r="R36" s="1654" t="s">
        <v>25</v>
      </c>
      <c r="S36" s="1655" t="e">
        <f t="shared" si="12"/>
        <v>#N/A</v>
      </c>
      <c r="T36" s="1654" t="s">
        <v>25</v>
      </c>
      <c r="U36" s="1655" t="e">
        <f t="shared" si="13"/>
        <v>#N/A</v>
      </c>
      <c r="V36" s="1654" t="s">
        <v>25</v>
      </c>
      <c r="W36" s="1655" t="e">
        <f t="shared" si="14"/>
        <v>#N/A</v>
      </c>
      <c r="X36" s="2003"/>
      <c r="Y36" s="3600"/>
      <c r="Z36" s="2007" t="str">
        <f t="shared" si="15"/>
        <v>成新度</v>
      </c>
      <c r="AA36" s="1998" t="e">
        <f t="shared" si="3"/>
        <v>#N/A</v>
      </c>
      <c r="AB36" s="1998" t="e">
        <f t="shared" si="4"/>
        <v>#N/A</v>
      </c>
      <c r="AC36" s="1998" t="e">
        <f t="shared" si="5"/>
        <v>#N/A</v>
      </c>
    </row>
    <row r="37" spans="1:29" s="1613" customFormat="1" ht="15">
      <c r="A37" s="1704"/>
      <c r="B37" s="1624" t="s">
        <v>2125</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4"/>
      <c r="Q37" s="1994" t="str">
        <f t="shared" si="11"/>
        <v>市政基础设施</v>
      </c>
      <c r="R37" s="1609" t="s">
        <v>25</v>
      </c>
      <c r="S37" s="1610">
        <f t="shared" si="12"/>
        <v>100</v>
      </c>
      <c r="T37" s="1609" t="s">
        <v>25</v>
      </c>
      <c r="U37" s="1610">
        <f t="shared" si="13"/>
        <v>100</v>
      </c>
      <c r="V37" s="1609" t="s">
        <v>25</v>
      </c>
      <c r="W37" s="1610">
        <f t="shared" si="14"/>
        <v>100</v>
      </c>
      <c r="X37" s="1611"/>
      <c r="Y37" s="3600"/>
      <c r="Z37" s="1622" t="str">
        <f t="shared" si="15"/>
        <v>市政基础设施</v>
      </c>
      <c r="AA37" s="1612">
        <f t="shared" si="3"/>
        <v>1</v>
      </c>
      <c r="AB37" s="1612">
        <f t="shared" si="4"/>
        <v>1</v>
      </c>
      <c r="AC37" s="1612">
        <f t="shared" si="5"/>
        <v>1</v>
      </c>
    </row>
    <row r="38" spans="1:29" ht="15">
      <c r="A38" s="1701"/>
      <c r="B38" s="1624" t="s">
        <v>2126</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4" t="s">
        <v>2036</v>
      </c>
      <c r="Q38" s="2000" t="str">
        <f t="shared" si="11"/>
        <v>业态</v>
      </c>
      <c r="R38" s="1654" t="s">
        <v>25</v>
      </c>
      <c r="S38" s="1655">
        <f t="shared" si="12"/>
        <v>100</v>
      </c>
      <c r="T38" s="1654" t="s">
        <v>25</v>
      </c>
      <c r="U38" s="1655">
        <f t="shared" si="13"/>
        <v>100</v>
      </c>
      <c r="V38" s="1654" t="s">
        <v>25</v>
      </c>
      <c r="W38" s="1655">
        <f t="shared" si="14"/>
        <v>100</v>
      </c>
      <c r="X38" s="2003"/>
      <c r="Y38" s="3600" t="s">
        <v>2036</v>
      </c>
      <c r="Z38" s="2007" t="str">
        <f t="shared" si="15"/>
        <v>业态</v>
      </c>
      <c r="AA38" s="1998">
        <f t="shared" si="3"/>
        <v>1</v>
      </c>
      <c r="AB38" s="1998">
        <f t="shared" si="4"/>
        <v>1</v>
      </c>
      <c r="AC38" s="1998">
        <f t="shared" si="5"/>
        <v>1</v>
      </c>
    </row>
    <row r="39" spans="1:29" ht="15">
      <c r="A39" s="1701"/>
      <c r="B39" s="1624" t="s">
        <v>2127</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4"/>
      <c r="Q39" s="2000" t="str">
        <f t="shared" si="11"/>
        <v>层高</v>
      </c>
      <c r="R39" s="1654" t="s">
        <v>25</v>
      </c>
      <c r="S39" s="1655">
        <f t="shared" si="12"/>
        <v>100</v>
      </c>
      <c r="T39" s="1654" t="s">
        <v>25</v>
      </c>
      <c r="U39" s="1655">
        <f t="shared" si="13"/>
        <v>100</v>
      </c>
      <c r="V39" s="1654" t="s">
        <v>25</v>
      </c>
      <c r="W39" s="1655">
        <f t="shared" si="14"/>
        <v>100</v>
      </c>
      <c r="X39" s="2003"/>
      <c r="Y39" s="3600"/>
      <c r="Z39" s="2007" t="str">
        <f t="shared" si="15"/>
        <v>层高</v>
      </c>
      <c r="AA39" s="1998">
        <f t="shared" si="3"/>
        <v>1</v>
      </c>
      <c r="AB39" s="1998">
        <f t="shared" si="4"/>
        <v>1</v>
      </c>
      <c r="AC39" s="1998">
        <f t="shared" si="5"/>
        <v>1</v>
      </c>
    </row>
    <row r="40" spans="1:29" ht="15">
      <c r="A40" s="1701"/>
      <c r="B40" s="1624" t="s">
        <v>2128</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4"/>
      <c r="Q40" s="2000" t="str">
        <f t="shared" si="11"/>
        <v>单套建筑面积</v>
      </c>
      <c r="R40" s="1654" t="s">
        <v>25</v>
      </c>
      <c r="S40" s="1655">
        <f t="shared" si="12"/>
        <v>100</v>
      </c>
      <c r="T40" s="1654" t="s">
        <v>25</v>
      </c>
      <c r="U40" s="1655">
        <f t="shared" si="13"/>
        <v>100</v>
      </c>
      <c r="V40" s="1654" t="s">
        <v>25</v>
      </c>
      <c r="W40" s="1655">
        <f t="shared" si="14"/>
        <v>100</v>
      </c>
      <c r="X40" s="2003"/>
      <c r="Y40" s="3600"/>
      <c r="Z40" s="2007" t="str">
        <f t="shared" si="15"/>
        <v>单套建筑面积</v>
      </c>
      <c r="AA40" s="1998">
        <f t="shared" si="3"/>
        <v>1</v>
      </c>
      <c r="AB40" s="1998">
        <f t="shared" si="4"/>
        <v>1</v>
      </c>
      <c r="AC40" s="1998">
        <f t="shared" si="5"/>
        <v>1</v>
      </c>
    </row>
    <row r="41" spans="1:29" s="1700" customFormat="1" ht="15">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4"/>
      <c r="Q41" s="1695" t="str">
        <f t="shared" si="11"/>
        <v>进深比</v>
      </c>
      <c r="R41" s="1696" t="s">
        <v>25</v>
      </c>
      <c r="S41" s="1697">
        <f t="shared" si="12"/>
        <v>100</v>
      </c>
      <c r="T41" s="1696" t="s">
        <v>25</v>
      </c>
      <c r="U41" s="1697">
        <f t="shared" si="13"/>
        <v>100</v>
      </c>
      <c r="V41" s="1696" t="s">
        <v>25</v>
      </c>
      <c r="W41" s="1697">
        <f t="shared" si="14"/>
        <v>100</v>
      </c>
      <c r="X41" s="1698"/>
      <c r="Y41" s="3600"/>
      <c r="Z41" s="1699" t="str">
        <f t="shared" si="15"/>
        <v>进深比</v>
      </c>
      <c r="AA41" s="1998">
        <f t="shared" si="3"/>
        <v>1</v>
      </c>
      <c r="AB41" s="1998">
        <f t="shared" si="4"/>
        <v>1</v>
      </c>
      <c r="AC41" s="1998">
        <f t="shared" si="5"/>
        <v>1</v>
      </c>
    </row>
    <row r="42" spans="1:29" ht="15">
      <c r="A42" s="1701"/>
      <c r="B42" s="1624" t="s">
        <v>2130</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4"/>
      <c r="Q42" s="2000" t="str">
        <f t="shared" si="11"/>
        <v>内部装修</v>
      </c>
      <c r="R42" s="1654" t="s">
        <v>25</v>
      </c>
      <c r="S42" s="1655">
        <f t="shared" si="12"/>
        <v>100</v>
      </c>
      <c r="T42" s="1654" t="s">
        <v>25</v>
      </c>
      <c r="U42" s="1655">
        <f t="shared" si="13"/>
        <v>100</v>
      </c>
      <c r="V42" s="1654" t="s">
        <v>25</v>
      </c>
      <c r="W42" s="1655">
        <f t="shared" si="14"/>
        <v>100</v>
      </c>
      <c r="X42" s="2003"/>
      <c r="Y42" s="3600"/>
      <c r="Z42" s="2007" t="str">
        <f t="shared" si="15"/>
        <v>内部装修</v>
      </c>
      <c r="AA42" s="1998">
        <f t="shared" si="3"/>
        <v>1</v>
      </c>
      <c r="AB42" s="1998">
        <f t="shared" si="4"/>
        <v>1</v>
      </c>
      <c r="AC42" s="1998">
        <f t="shared" si="5"/>
        <v>1</v>
      </c>
    </row>
    <row r="43" spans="1:29" ht="15">
      <c r="A43" s="1701"/>
      <c r="B43" s="1624" t="s">
        <v>2047</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4"/>
      <c r="Q43" s="2000" t="str">
        <f t="shared" si="11"/>
        <v>内部装修维护情况</v>
      </c>
      <c r="R43" s="1654" t="s">
        <v>25</v>
      </c>
      <c r="S43" s="1655">
        <f t="shared" si="12"/>
        <v>100</v>
      </c>
      <c r="T43" s="1654" t="s">
        <v>25</v>
      </c>
      <c r="U43" s="1655">
        <f t="shared" si="13"/>
        <v>100</v>
      </c>
      <c r="V43" s="1654" t="s">
        <v>25</v>
      </c>
      <c r="W43" s="1655">
        <f t="shared" si="14"/>
        <v>100</v>
      </c>
      <c r="X43" s="2003"/>
      <c r="Y43" s="3600"/>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4"/>
      <c r="Q44" s="1994">
        <f t="shared" si="11"/>
        <v>111</v>
      </c>
      <c r="R44" s="1609" t="s">
        <v>25</v>
      </c>
      <c r="S44" s="1610">
        <f t="shared" si="12"/>
        <v>100</v>
      </c>
      <c r="T44" s="1609" t="s">
        <v>25</v>
      </c>
      <c r="U44" s="1610">
        <f t="shared" si="13"/>
        <v>100</v>
      </c>
      <c r="V44" s="1609" t="s">
        <v>25</v>
      </c>
      <c r="W44" s="1610">
        <f t="shared" si="14"/>
        <v>100</v>
      </c>
      <c r="X44" s="1611"/>
      <c r="Y44" s="3600"/>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4"/>
      <c r="Q45" s="2000">
        <f t="shared" si="11"/>
        <v>111</v>
      </c>
      <c r="R45" s="1654" t="s">
        <v>25</v>
      </c>
      <c r="S45" s="1655">
        <f t="shared" si="12"/>
        <v>100</v>
      </c>
      <c r="T45" s="1654" t="s">
        <v>25</v>
      </c>
      <c r="U45" s="1655">
        <f t="shared" si="13"/>
        <v>100</v>
      </c>
      <c r="V45" s="1654" t="s">
        <v>25</v>
      </c>
      <c r="W45" s="1655">
        <f t="shared" si="14"/>
        <v>100</v>
      </c>
      <c r="X45" s="2003"/>
      <c r="Y45" s="3600"/>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5"/>
      <c r="Q46" s="2000">
        <f t="shared" si="11"/>
        <v>111</v>
      </c>
      <c r="R46" s="1654" t="s">
        <v>25</v>
      </c>
      <c r="S46" s="1655">
        <f t="shared" si="12"/>
        <v>100</v>
      </c>
      <c r="T46" s="1654" t="s">
        <v>25</v>
      </c>
      <c r="U46" s="1655">
        <f t="shared" si="13"/>
        <v>100</v>
      </c>
      <c r="V46" s="1654" t="s">
        <v>25</v>
      </c>
      <c r="W46" s="1655">
        <f t="shared" si="14"/>
        <v>100</v>
      </c>
      <c r="X46" s="2003"/>
      <c r="Y46" s="3601"/>
      <c r="Z46" s="2007">
        <f t="shared" si="15"/>
        <v>111</v>
      </c>
      <c r="AA46" s="1998">
        <f t="shared" si="3"/>
        <v>1</v>
      </c>
      <c r="AB46" s="1998">
        <f t="shared" si="4"/>
        <v>1</v>
      </c>
      <c r="AC46" s="1998">
        <f t="shared" si="5"/>
        <v>1</v>
      </c>
    </row>
    <row r="47" spans="1:29" ht="15">
      <c r="A47" s="1710" t="s">
        <v>2048</v>
      </c>
      <c r="B47" s="1711"/>
      <c r="C47" s="1712" t="s">
        <v>1</v>
      </c>
      <c r="D47" s="1713"/>
      <c r="E47" s="1714"/>
      <c r="F47" s="1715"/>
      <c r="G47" s="1716"/>
      <c r="H47" s="1717"/>
      <c r="I47" s="1714"/>
      <c r="J47" s="1717"/>
      <c r="K47" s="1942"/>
      <c r="L47" s="2921"/>
      <c r="N47" s="2916"/>
      <c r="P47" s="3569" t="str">
        <f>A47</f>
        <v>成交单价（元/平方米）</v>
      </c>
      <c r="Q47" s="3569"/>
      <c r="R47" s="3602">
        <f>E47</f>
        <v>0</v>
      </c>
      <c r="S47" s="3602"/>
      <c r="T47" s="3602">
        <f>G47</f>
        <v>0</v>
      </c>
      <c r="U47" s="3602"/>
      <c r="V47" s="3602">
        <f>I47</f>
        <v>0</v>
      </c>
      <c r="W47" s="3602"/>
      <c r="X47" s="1720"/>
      <c r="Y47" s="2002"/>
      <c r="Z47" s="1720"/>
      <c r="AA47" s="1720"/>
      <c r="AB47" s="1720"/>
      <c r="AC47" s="1720"/>
    </row>
    <row r="48" spans="1:29" ht="15.75" thickBot="1">
      <c r="A48" s="1722" t="s">
        <v>2131</v>
      </c>
      <c r="B48" s="1723"/>
      <c r="C48" s="1724" t="e">
        <f>R49</f>
        <v>#DIV/0!</v>
      </c>
      <c r="D48" s="1725" t="s">
        <v>2502</v>
      </c>
      <c r="E48" s="1726" t="e">
        <f>R48</f>
        <v>#DIV/0!</v>
      </c>
      <c r="F48" s="1727"/>
      <c r="G48" s="1724" t="e">
        <f>T48</f>
        <v>#DIV/0!</v>
      </c>
      <c r="H48" s="1727"/>
      <c r="I48" s="1726" t="e">
        <f>V48</f>
        <v>#DIV/0!</v>
      </c>
      <c r="J48" s="1727"/>
      <c r="K48" s="2429">
        <f>F48+H48+J48</f>
        <v>0</v>
      </c>
      <c r="L48" s="2921"/>
      <c r="N48" s="2916"/>
      <c r="P48" s="3569" t="str">
        <f>A48</f>
        <v>比较价值（元/平方米）</v>
      </c>
      <c r="Q48" s="3569"/>
      <c r="R48" s="3602" t="e">
        <f>IF(E1="售价",ROUND(PRODUCT(R47,AA7:AA46),0),ROUND(PRODUCT(R47,AA7:AA46),1))</f>
        <v>#DIV/0!</v>
      </c>
      <c r="S48" s="3602"/>
      <c r="T48" s="3602" t="e">
        <f>IF(E1="售价",ROUND(PRODUCT(T47,AB7:AB46),0),ROUND(PRODUCT(T47,AB7:AB46),1))</f>
        <v>#DIV/0!</v>
      </c>
      <c r="U48" s="3602"/>
      <c r="V48" s="3602" t="e">
        <f>IF(E1="售价",ROUND(PRODUCT(V47,AC7:AC46),0),ROUND(PRODUCT(V47,AC7:AC46),1))</f>
        <v>#DIV/0!</v>
      </c>
      <c r="W48" s="3602"/>
      <c r="X48" s="1720"/>
      <c r="Y48" s="1720"/>
      <c r="Z48" s="1720"/>
      <c r="AA48" s="1720"/>
      <c r="AB48" s="1720"/>
      <c r="AC48" s="1720"/>
    </row>
    <row r="49" spans="1:29" ht="15.75" thickBot="1">
      <c r="A49" s="1728" t="s">
        <v>2132</v>
      </c>
      <c r="B49" s="1729"/>
      <c r="C49" s="1731" t="e">
        <f>R49</f>
        <v>#DIV/0!</v>
      </c>
      <c r="D49" s="1731"/>
      <c r="E49" s="1731"/>
      <c r="F49" s="1731"/>
      <c r="G49" s="1731"/>
      <c r="H49" s="1731"/>
      <c r="I49" s="1731"/>
      <c r="J49" s="1731"/>
      <c r="K49" s="1947"/>
      <c r="L49" s="2921"/>
      <c r="N49" s="2916"/>
      <c r="P49" s="3603" t="str">
        <f>A49</f>
        <v>估价对象XX用房的比较价值（楼面单价，元/平方米）</v>
      </c>
      <c r="Q49" s="3604"/>
      <c r="R49" s="3605" t="e">
        <f>IF(E1="售价",ROUND(IF(D48="简单平均",AVERAGE(R48:V48),R48*F48+T48*H48+V48*J48),0),ROUND(IF(D48="简单平均",AVERAGE(R48:V48),R48*F48+T48*H48+V48*J48),1))</f>
        <v>#DIV/0!</v>
      </c>
      <c r="S49" s="3605"/>
      <c r="T49" s="3605"/>
      <c r="U49" s="3605"/>
      <c r="V49" s="3605"/>
      <c r="W49" s="3605"/>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2133</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2134</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2136</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2018</v>
      </c>
      <c r="B58" s="1752"/>
      <c r="C58" s="1753" t="str">
        <f>YEAR(C7)&amp;"-"&amp;MONTH(C7)</f>
        <v>2022-4</v>
      </c>
      <c r="D58" s="1754">
        <f>EDATE(C58,-1)</f>
        <v>44621</v>
      </c>
      <c r="E58" s="1754">
        <f t="shared" ref="E58:O58" si="16">EDATE(D58,-1)</f>
        <v>44593</v>
      </c>
      <c r="F58" s="1754">
        <f t="shared" si="16"/>
        <v>44562</v>
      </c>
      <c r="G58" s="1754">
        <f t="shared" si="16"/>
        <v>44531</v>
      </c>
      <c r="H58" s="1754">
        <f t="shared" si="16"/>
        <v>44501</v>
      </c>
      <c r="I58" s="1754">
        <f t="shared" si="16"/>
        <v>44470</v>
      </c>
      <c r="J58" s="1754">
        <f t="shared" si="16"/>
        <v>44440</v>
      </c>
      <c r="K58" s="1754">
        <f t="shared" si="16"/>
        <v>44409</v>
      </c>
      <c r="L58" s="1754">
        <f t="shared" si="16"/>
        <v>44378</v>
      </c>
      <c r="M58" s="1754">
        <f t="shared" si="16"/>
        <v>44348</v>
      </c>
      <c r="N58" s="1754">
        <f t="shared" si="16"/>
        <v>44317</v>
      </c>
      <c r="O58" s="1754">
        <f t="shared" si="16"/>
        <v>44287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2020</v>
      </c>
      <c r="B61" s="1758"/>
      <c r="C61" s="1769" t="s">
        <v>2021</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2059</v>
      </c>
      <c r="B63" s="1776" t="s">
        <v>2024</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2028</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2117</v>
      </c>
      <c r="C82" s="1788" t="s">
        <v>2075</v>
      </c>
      <c r="D82" s="1788" t="s">
        <v>2076</v>
      </c>
      <c r="E82" s="1788" t="s">
        <v>2077</v>
      </c>
      <c r="F82" s="1788" t="s">
        <v>2078</v>
      </c>
      <c r="G82" s="1788" t="s">
        <v>2079</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2137</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2034</v>
      </c>
      <c r="B100" s="1776" t="s">
        <v>2138</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2085</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2087</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2090</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2139</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2140</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2141</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2092</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2001</v>
      </c>
      <c r="B1" s="1155" t="s">
        <v>2160</v>
      </c>
      <c r="C1" s="1147"/>
      <c r="D1" s="1160"/>
      <c r="E1" s="1487"/>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2004</v>
      </c>
      <c r="D3" s="292">
        <f>IF(C1="仅计算典型户型",'数据-取费表'!E5,'数据-取费表'!B5)</f>
        <v>176.29</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53" t="s">
        <v>2006</v>
      </c>
      <c r="D4" s="3654"/>
      <c r="E4" s="3655" t="s">
        <v>2007</v>
      </c>
      <c r="F4" s="3656"/>
      <c r="G4" s="3653" t="s">
        <v>2008</v>
      </c>
      <c r="H4" s="3654"/>
      <c r="I4" s="3653" t="s">
        <v>2009</v>
      </c>
      <c r="J4" s="3654"/>
      <c r="K4" s="496" t="s">
        <v>2010</v>
      </c>
      <c r="L4" s="2943"/>
      <c r="M4" s="2944"/>
      <c r="N4" s="2944"/>
      <c r="O4" s="2944"/>
      <c r="P4" s="3657" t="s">
        <v>2011</v>
      </c>
      <c r="Q4" s="3658"/>
      <c r="R4" s="3663" t="s">
        <v>2007</v>
      </c>
      <c r="S4" s="3664"/>
      <c r="T4" s="3663" t="s">
        <v>2008</v>
      </c>
      <c r="U4" s="3664"/>
      <c r="V4" s="3669" t="s">
        <v>2009</v>
      </c>
      <c r="W4" s="3669"/>
      <c r="X4" s="1263"/>
      <c r="Y4" s="3663" t="s">
        <v>2011</v>
      </c>
      <c r="Z4" s="3664"/>
      <c r="AA4" s="3650" t="s">
        <v>2007</v>
      </c>
      <c r="AB4" s="3651" t="s">
        <v>2008</v>
      </c>
      <c r="AC4" s="3650" t="s">
        <v>2009</v>
      </c>
    </row>
    <row r="5" spans="1:29" ht="15">
      <c r="A5" s="297"/>
      <c r="B5" s="298"/>
      <c r="C5" s="3646" t="s">
        <v>2012</v>
      </c>
      <c r="D5" s="3647"/>
      <c r="E5" s="3670" t="s">
        <v>2013</v>
      </c>
      <c r="F5" s="3671"/>
      <c r="G5" s="3646" t="s">
        <v>2014</v>
      </c>
      <c r="H5" s="3647"/>
      <c r="I5" s="3646" t="s">
        <v>2015</v>
      </c>
      <c r="J5" s="3647"/>
      <c r="K5" s="496"/>
      <c r="L5" s="2943"/>
      <c r="M5" s="2944"/>
      <c r="N5" s="2944"/>
      <c r="O5" s="2944"/>
      <c r="P5" s="3659"/>
      <c r="Q5" s="3660"/>
      <c r="R5" s="3665"/>
      <c r="S5" s="3666"/>
      <c r="T5" s="3665"/>
      <c r="U5" s="3666"/>
      <c r="V5" s="3669"/>
      <c r="W5" s="3669"/>
      <c r="X5" s="1263"/>
      <c r="Y5" s="3665"/>
      <c r="Z5" s="3666"/>
      <c r="AA5" s="3651"/>
      <c r="AB5" s="3651"/>
      <c r="AC5" s="3651"/>
    </row>
    <row r="6" spans="1:29" ht="15.75" thickBot="1">
      <c r="A6" s="299"/>
      <c r="B6" s="300"/>
      <c r="C6" s="3643" t="s">
        <v>2016</v>
      </c>
      <c r="D6" s="3644"/>
      <c r="E6" s="3641" t="s">
        <v>2016</v>
      </c>
      <c r="F6" s="3642"/>
      <c r="G6" s="3643" t="s">
        <v>2016</v>
      </c>
      <c r="H6" s="3644"/>
      <c r="I6" s="3643" t="s">
        <v>2016</v>
      </c>
      <c r="J6" s="3644"/>
      <c r="K6" s="496" t="s">
        <v>2017</v>
      </c>
      <c r="L6" s="2943"/>
      <c r="M6" s="2944"/>
      <c r="N6" s="2944"/>
      <c r="O6" s="2944"/>
      <c r="P6" s="3661"/>
      <c r="Q6" s="3662"/>
      <c r="R6" s="3665"/>
      <c r="S6" s="3666"/>
      <c r="T6" s="3667"/>
      <c r="U6" s="3668"/>
      <c r="V6" s="3669"/>
      <c r="W6" s="3669"/>
      <c r="X6" s="1263"/>
      <c r="Y6" s="3667"/>
      <c r="Z6" s="3668"/>
      <c r="AA6" s="3652"/>
      <c r="AB6" s="3652"/>
      <c r="AC6" s="3652"/>
    </row>
    <row r="7" spans="1:29" s="25" customFormat="1" ht="15.75" thickBot="1">
      <c r="A7" s="301" t="s">
        <v>2018</v>
      </c>
      <c r="B7" s="302"/>
      <c r="C7" s="303">
        <f>'数据-取费表'!B2</f>
        <v>44676</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8" t="s">
        <v>2019</v>
      </c>
      <c r="Q7" s="3672"/>
      <c r="R7" s="627" t="s">
        <v>25</v>
      </c>
      <c r="S7" s="628">
        <f t="shared" ref="S7:S15" si="0">F7</f>
        <v>0</v>
      </c>
      <c r="T7" s="627" t="s">
        <v>25</v>
      </c>
      <c r="U7" s="628">
        <f t="shared" ref="U7:U15" si="1">H7</f>
        <v>0</v>
      </c>
      <c r="V7" s="627" t="s">
        <v>25</v>
      </c>
      <c r="W7" s="628">
        <f t="shared" ref="W7:W15" si="2">J7</f>
        <v>0</v>
      </c>
      <c r="X7" s="629"/>
      <c r="Y7" s="3648" t="s">
        <v>2019</v>
      </c>
      <c r="Z7" s="3649"/>
      <c r="AA7" s="630" t="e">
        <f>D7/F7</f>
        <v>#DIV/0!</v>
      </c>
      <c r="AB7" s="630" t="e">
        <f>D7/H7</f>
        <v>#DIV/0!</v>
      </c>
      <c r="AC7" s="630" t="e">
        <f>D7/J7</f>
        <v>#DIV/0!</v>
      </c>
    </row>
    <row r="8" spans="1:29" s="25" customFormat="1" ht="15.75" thickBot="1">
      <c r="A8" s="301" t="s">
        <v>2020</v>
      </c>
      <c r="B8" s="302"/>
      <c r="C8" s="307" t="s">
        <v>2638</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8" t="s">
        <v>2022</v>
      </c>
      <c r="Q8" s="3649"/>
      <c r="R8" s="627" t="s">
        <v>25</v>
      </c>
      <c r="S8" s="628">
        <f t="shared" si="0"/>
        <v>0</v>
      </c>
      <c r="T8" s="627" t="s">
        <v>25</v>
      </c>
      <c r="U8" s="628">
        <f t="shared" si="1"/>
        <v>0</v>
      </c>
      <c r="V8" s="627" t="s">
        <v>25</v>
      </c>
      <c r="W8" s="628">
        <f t="shared" si="2"/>
        <v>0</v>
      </c>
      <c r="X8" s="629"/>
      <c r="Y8" s="3648" t="s">
        <v>2022</v>
      </c>
      <c r="Z8" s="3649"/>
      <c r="AA8" s="630" t="e">
        <f t="shared" ref="AA8:AA40" si="3">D8/F8</f>
        <v>#DIV/0!</v>
      </c>
      <c r="AB8" s="630" t="e">
        <f t="shared" ref="AB8:AB40" si="4">D8/H8</f>
        <v>#DIV/0!</v>
      </c>
      <c r="AC8" s="630"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5" t="s">
        <v>2025</v>
      </c>
      <c r="Q9" s="1255" t="str">
        <f t="shared" ref="Q9:Q15" si="6">B9</f>
        <v>用途</v>
      </c>
      <c r="R9" s="627" t="s">
        <v>25</v>
      </c>
      <c r="S9" s="628">
        <f t="shared" si="0"/>
        <v>100</v>
      </c>
      <c r="T9" s="627" t="s">
        <v>25</v>
      </c>
      <c r="U9" s="628">
        <f t="shared" si="1"/>
        <v>100</v>
      </c>
      <c r="V9" s="627" t="s">
        <v>25</v>
      </c>
      <c r="W9" s="628">
        <f t="shared" si="2"/>
        <v>100</v>
      </c>
      <c r="X9" s="629"/>
      <c r="Y9" s="3675" t="s">
        <v>2026</v>
      </c>
      <c r="Z9" s="19" t="str">
        <f t="shared" ref="Z9:Z15" si="7">Q9</f>
        <v>用途</v>
      </c>
      <c r="AA9" s="630">
        <f t="shared" si="3"/>
        <v>1</v>
      </c>
      <c r="AB9" s="630">
        <f t="shared" si="4"/>
        <v>1</v>
      </c>
      <c r="AC9" s="630">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5"/>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5"/>
      <c r="Q11" s="1255" t="str">
        <f t="shared" si="6"/>
        <v>容积率</v>
      </c>
      <c r="R11" s="627" t="s">
        <v>25</v>
      </c>
      <c r="S11" s="628" t="e">
        <f t="shared" si="0"/>
        <v>#N/A</v>
      </c>
      <c r="T11" s="627" t="s">
        <v>25</v>
      </c>
      <c r="U11" s="628" t="e">
        <f t="shared" si="1"/>
        <v>#N/A</v>
      </c>
      <c r="V11" s="627" t="s">
        <v>25</v>
      </c>
      <c r="W11" s="628" t="e">
        <f t="shared" si="2"/>
        <v>#N/A</v>
      </c>
      <c r="X11" s="629"/>
      <c r="Y11" s="3675"/>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5"/>
      <c r="Q14" s="1255">
        <f t="shared" si="6"/>
        <v>111</v>
      </c>
      <c r="R14" s="627" t="s">
        <v>25</v>
      </c>
      <c r="S14" s="628">
        <f t="shared" si="0"/>
        <v>100</v>
      </c>
      <c r="T14" s="627" t="s">
        <v>25</v>
      </c>
      <c r="U14" s="628">
        <f t="shared" si="1"/>
        <v>100</v>
      </c>
      <c r="V14" s="627" t="s">
        <v>25</v>
      </c>
      <c r="W14" s="628">
        <f t="shared" si="2"/>
        <v>100</v>
      </c>
      <c r="X14" s="629"/>
      <c r="Y14" s="3675"/>
      <c r="Z14" s="19">
        <f t="shared" si="7"/>
        <v>111</v>
      </c>
      <c r="AA14" s="630">
        <f t="shared" si="3"/>
        <v>1</v>
      </c>
      <c r="AB14" s="630">
        <f t="shared" si="4"/>
        <v>1</v>
      </c>
      <c r="AC14" s="630">
        <f t="shared" si="5"/>
        <v>1</v>
      </c>
    </row>
    <row r="15" spans="1:29" ht="57">
      <c r="A15" s="329" t="s">
        <v>2029</v>
      </c>
      <c r="B15" s="22" t="s">
        <v>2161</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73" t="s">
        <v>2030</v>
      </c>
      <c r="Q15" s="1262" t="str">
        <f t="shared" si="6"/>
        <v>产业集聚程度</v>
      </c>
      <c r="R15" s="631" t="s">
        <v>25</v>
      </c>
      <c r="S15" s="632">
        <f t="shared" si="0"/>
        <v>100</v>
      </c>
      <c r="T15" s="631" t="s">
        <v>25</v>
      </c>
      <c r="U15" s="632">
        <f t="shared" si="1"/>
        <v>100</v>
      </c>
      <c r="V15" s="631" t="s">
        <v>25</v>
      </c>
      <c r="W15" s="632">
        <f t="shared" si="2"/>
        <v>100</v>
      </c>
      <c r="X15" s="1263"/>
      <c r="Y15" s="3673" t="s">
        <v>2030</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74"/>
      <c r="Q16" s="1262"/>
      <c r="R16" s="631"/>
      <c r="S16" s="632"/>
      <c r="T16" s="631"/>
      <c r="U16" s="632"/>
      <c r="V16" s="631"/>
      <c r="W16" s="632"/>
      <c r="X16" s="1263"/>
      <c r="Y16" s="3674"/>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74"/>
      <c r="Q17" s="1262" t="str">
        <f>B17</f>
        <v>交通便捷度</v>
      </c>
      <c r="R17" s="631" t="s">
        <v>25</v>
      </c>
      <c r="S17" s="632">
        <f>F17</f>
        <v>100</v>
      </c>
      <c r="T17" s="631" t="s">
        <v>25</v>
      </c>
      <c r="U17" s="632">
        <f>H17</f>
        <v>100</v>
      </c>
      <c r="V17" s="631" t="s">
        <v>25</v>
      </c>
      <c r="W17" s="632">
        <f>J17</f>
        <v>100</v>
      </c>
      <c r="X17" s="1263"/>
      <c r="Y17" s="3674"/>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74"/>
      <c r="Q18" s="1262"/>
      <c r="R18" s="631"/>
      <c r="S18" s="632"/>
      <c r="T18" s="631"/>
      <c r="U18" s="632"/>
      <c r="V18" s="631"/>
      <c r="W18" s="632"/>
      <c r="X18" s="1263"/>
      <c r="Y18" s="3674"/>
      <c r="Z18" s="1264"/>
      <c r="AA18" s="1265">
        <v>1</v>
      </c>
      <c r="AB18" s="1265">
        <v>1</v>
      </c>
      <c r="AC18" s="1265">
        <v>1</v>
      </c>
    </row>
    <row r="19" spans="1:29" ht="42.75">
      <c r="A19" s="318"/>
      <c r="B19" s="513" t="s">
        <v>2145</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74"/>
      <c r="Q19" s="1262" t="str">
        <f>B19</f>
        <v>公共配套设施</v>
      </c>
      <c r="R19" s="631" t="s">
        <v>25</v>
      </c>
      <c r="S19" s="632">
        <f>F19</f>
        <v>100</v>
      </c>
      <c r="T19" s="631" t="s">
        <v>25</v>
      </c>
      <c r="U19" s="632">
        <f>H19</f>
        <v>100</v>
      </c>
      <c r="V19" s="631" t="s">
        <v>25</v>
      </c>
      <c r="W19" s="632">
        <f>J19</f>
        <v>100</v>
      </c>
      <c r="X19" s="1263"/>
      <c r="Y19" s="3674"/>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74"/>
      <c r="Q20" s="1262"/>
      <c r="R20" s="631"/>
      <c r="S20" s="632"/>
      <c r="T20" s="631"/>
      <c r="U20" s="632"/>
      <c r="V20" s="631"/>
      <c r="W20" s="632"/>
      <c r="X20" s="1263"/>
      <c r="Y20" s="3674"/>
      <c r="Z20" s="1264"/>
      <c r="AA20" s="1265">
        <v>1</v>
      </c>
      <c r="AB20" s="1265">
        <v>1</v>
      </c>
      <c r="AC20" s="1265">
        <v>1</v>
      </c>
    </row>
    <row r="21" spans="1:29" ht="28.5">
      <c r="A21" s="318"/>
      <c r="B21" s="515" t="s">
        <v>2146</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74"/>
      <c r="Q21" s="1262" t="str">
        <f>B21</f>
        <v>基础设施水平</v>
      </c>
      <c r="R21" s="631" t="s">
        <v>25</v>
      </c>
      <c r="S21" s="632">
        <f>F21</f>
        <v>100</v>
      </c>
      <c r="T21" s="631" t="s">
        <v>25</v>
      </c>
      <c r="U21" s="632">
        <f>H21</f>
        <v>100</v>
      </c>
      <c r="V21" s="631" t="s">
        <v>25</v>
      </c>
      <c r="W21" s="632">
        <f>J21</f>
        <v>100</v>
      </c>
      <c r="X21" s="1263"/>
      <c r="Y21" s="3674"/>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74"/>
      <c r="Q22" s="1262"/>
      <c r="R22" s="631"/>
      <c r="S22" s="632"/>
      <c r="T22" s="631"/>
      <c r="U22" s="632"/>
      <c r="V22" s="631"/>
      <c r="W22" s="632"/>
      <c r="X22" s="1263"/>
      <c r="Y22" s="3674"/>
      <c r="Z22" s="1264"/>
      <c r="AA22" s="1265">
        <v>1</v>
      </c>
      <c r="AB22" s="1265">
        <v>1</v>
      </c>
      <c r="AC22" s="1265">
        <v>1</v>
      </c>
    </row>
    <row r="23" spans="1:29" ht="71.25">
      <c r="A23" s="318"/>
      <c r="B23" s="340" t="s">
        <v>2147</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74"/>
      <c r="Q23" s="1262" t="str">
        <f>B23</f>
        <v>环境质量</v>
      </c>
      <c r="R23" s="631" t="s">
        <v>25</v>
      </c>
      <c r="S23" s="632">
        <f>F23</f>
        <v>100</v>
      </c>
      <c r="T23" s="631" t="s">
        <v>25</v>
      </c>
      <c r="U23" s="632">
        <f>H23</f>
        <v>100</v>
      </c>
      <c r="V23" s="631" t="s">
        <v>25</v>
      </c>
      <c r="W23" s="632">
        <f>J23</f>
        <v>100</v>
      </c>
      <c r="X23" s="1263"/>
      <c r="Y23" s="3674"/>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74"/>
      <c r="Q24" s="1262"/>
      <c r="R24" s="631"/>
      <c r="S24" s="632"/>
      <c r="T24" s="631"/>
      <c r="U24" s="632"/>
      <c r="V24" s="631"/>
      <c r="W24" s="632"/>
      <c r="X24" s="1263"/>
      <c r="Y24" s="3674"/>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74"/>
      <c r="Q25" s="1262">
        <f>B25</f>
        <v>111</v>
      </c>
      <c r="R25" s="631" t="s">
        <v>25</v>
      </c>
      <c r="S25" s="632">
        <f>F25</f>
        <v>100</v>
      </c>
      <c r="T25" s="631" t="s">
        <v>25</v>
      </c>
      <c r="U25" s="632">
        <f>H25</f>
        <v>100</v>
      </c>
      <c r="V25" s="631" t="s">
        <v>25</v>
      </c>
      <c r="W25" s="632">
        <f>J25</f>
        <v>100</v>
      </c>
      <c r="X25" s="1263"/>
      <c r="Y25" s="3674"/>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74"/>
      <c r="Q26" s="1262">
        <f t="shared" ref="Q26:Q40" si="11">B26</f>
        <v>111</v>
      </c>
      <c r="R26" s="631" t="s">
        <v>25</v>
      </c>
      <c r="S26" s="632">
        <f>F26</f>
        <v>100</v>
      </c>
      <c r="T26" s="631" t="s">
        <v>25</v>
      </c>
      <c r="U26" s="632">
        <f>H26</f>
        <v>100</v>
      </c>
      <c r="V26" s="631" t="s">
        <v>25</v>
      </c>
      <c r="W26" s="632">
        <f>J26</f>
        <v>100</v>
      </c>
      <c r="X26" s="1263"/>
      <c r="Y26" s="3674"/>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74"/>
      <c r="Q27" s="1255">
        <f t="shared" si="11"/>
        <v>111</v>
      </c>
      <c r="R27" s="627" t="s">
        <v>25</v>
      </c>
      <c r="S27" s="628">
        <f>F27</f>
        <v>100</v>
      </c>
      <c r="T27" s="627" t="s">
        <v>25</v>
      </c>
      <c r="U27" s="628">
        <f>H27</f>
        <v>100</v>
      </c>
      <c r="V27" s="627" t="s">
        <v>25</v>
      </c>
      <c r="W27" s="628">
        <f>J27</f>
        <v>100</v>
      </c>
      <c r="X27" s="629"/>
      <c r="Y27" s="3674"/>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74"/>
      <c r="Q28" s="1262">
        <f t="shared" si="11"/>
        <v>111</v>
      </c>
      <c r="R28" s="631" t="s">
        <v>25</v>
      </c>
      <c r="S28" s="632">
        <f t="shared" ref="S28:S40" si="12">F28</f>
        <v>100</v>
      </c>
      <c r="T28" s="631" t="s">
        <v>25</v>
      </c>
      <c r="U28" s="632">
        <f t="shared" ref="U28:U40" si="13">H28</f>
        <v>100</v>
      </c>
      <c r="V28" s="631" t="s">
        <v>25</v>
      </c>
      <c r="W28" s="632">
        <f t="shared" ref="W28:W40" si="14">J28</f>
        <v>100</v>
      </c>
      <c r="X28" s="1263"/>
      <c r="Y28" s="3674"/>
      <c r="Z28" s="1264">
        <f t="shared" ref="Z28:Z40" si="15">Q28</f>
        <v>111</v>
      </c>
      <c r="AA28" s="1265">
        <f t="shared" si="3"/>
        <v>1</v>
      </c>
      <c r="AB28" s="1265">
        <f t="shared" si="4"/>
        <v>1</v>
      </c>
      <c r="AC28" s="1265">
        <f t="shared" si="5"/>
        <v>1</v>
      </c>
    </row>
    <row r="29" spans="1:29" ht="28.5">
      <c r="A29" s="354" t="s">
        <v>2034</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76" t="s">
        <v>2036</v>
      </c>
      <c r="Q29" s="1262" t="str">
        <f t="shared" si="11"/>
        <v>建筑类型</v>
      </c>
      <c r="R29" s="631" t="s">
        <v>25</v>
      </c>
      <c r="S29" s="632">
        <f t="shared" si="12"/>
        <v>100</v>
      </c>
      <c r="T29" s="631" t="s">
        <v>25</v>
      </c>
      <c r="U29" s="632">
        <f t="shared" si="13"/>
        <v>100</v>
      </c>
      <c r="V29" s="631" t="s">
        <v>25</v>
      </c>
      <c r="W29" s="632">
        <f t="shared" si="14"/>
        <v>100</v>
      </c>
      <c r="X29" s="1263"/>
      <c r="Y29" s="3677"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7"/>
      <c r="Q30" s="633" t="str">
        <f t="shared" si="11"/>
        <v>项目建筑规模</v>
      </c>
      <c r="R30" s="634" t="s">
        <v>25</v>
      </c>
      <c r="S30" s="635" t="e">
        <f t="shared" si="12"/>
        <v>#N/A</v>
      </c>
      <c r="T30" s="634" t="s">
        <v>25</v>
      </c>
      <c r="U30" s="635" t="e">
        <f t="shared" si="13"/>
        <v>#N/A</v>
      </c>
      <c r="V30" s="634" t="s">
        <v>25</v>
      </c>
      <c r="W30" s="635" t="e">
        <f t="shared" si="14"/>
        <v>#N/A</v>
      </c>
      <c r="X30" s="636"/>
      <c r="Y30" s="3677"/>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7"/>
      <c r="Q31" s="1262" t="str">
        <f t="shared" si="11"/>
        <v>建筑结构</v>
      </c>
      <c r="R31" s="631" t="s">
        <v>25</v>
      </c>
      <c r="S31" s="632">
        <f t="shared" si="12"/>
        <v>100</v>
      </c>
      <c r="T31" s="631" t="s">
        <v>25</v>
      </c>
      <c r="U31" s="632">
        <f t="shared" si="13"/>
        <v>100</v>
      </c>
      <c r="V31" s="631" t="s">
        <v>25</v>
      </c>
      <c r="W31" s="632">
        <f t="shared" si="14"/>
        <v>100</v>
      </c>
      <c r="X31" s="1263"/>
      <c r="Y31" s="3677"/>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7"/>
      <c r="Q32" s="1262" t="str">
        <f t="shared" si="11"/>
        <v>公共部分装修</v>
      </c>
      <c r="R32" s="631" t="s">
        <v>25</v>
      </c>
      <c r="S32" s="632">
        <f t="shared" si="12"/>
        <v>100</v>
      </c>
      <c r="T32" s="631" t="s">
        <v>25</v>
      </c>
      <c r="U32" s="632">
        <f t="shared" si="13"/>
        <v>100</v>
      </c>
      <c r="V32" s="631" t="s">
        <v>25</v>
      </c>
      <c r="W32" s="632">
        <f t="shared" si="14"/>
        <v>100</v>
      </c>
      <c r="X32" s="1263"/>
      <c r="Y32" s="3677"/>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7"/>
      <c r="Q33" s="1262" t="str">
        <f t="shared" si="11"/>
        <v>成新度</v>
      </c>
      <c r="R33" s="631" t="s">
        <v>25</v>
      </c>
      <c r="S33" s="632" t="e">
        <f t="shared" si="12"/>
        <v>#N/A</v>
      </c>
      <c r="T33" s="631" t="s">
        <v>25</v>
      </c>
      <c r="U33" s="632" t="e">
        <f t="shared" si="13"/>
        <v>#N/A</v>
      </c>
      <c r="V33" s="631" t="s">
        <v>25</v>
      </c>
      <c r="W33" s="632" t="e">
        <f t="shared" si="14"/>
        <v>#N/A</v>
      </c>
      <c r="X33" s="1263"/>
      <c r="Y33" s="3677"/>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7"/>
      <c r="Q34" s="1255" t="str">
        <f t="shared" si="11"/>
        <v>物业管理</v>
      </c>
      <c r="R34" s="627" t="s">
        <v>25</v>
      </c>
      <c r="S34" s="628">
        <f t="shared" si="12"/>
        <v>100</v>
      </c>
      <c r="T34" s="627" t="s">
        <v>25</v>
      </c>
      <c r="U34" s="628">
        <f t="shared" si="13"/>
        <v>100</v>
      </c>
      <c r="V34" s="627" t="s">
        <v>25</v>
      </c>
      <c r="W34" s="628">
        <f t="shared" si="14"/>
        <v>100</v>
      </c>
      <c r="X34" s="629"/>
      <c r="Y34" s="3677"/>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7" t="s">
        <v>2036</v>
      </c>
      <c r="Q35" s="1262" t="str">
        <f t="shared" si="11"/>
        <v>市政基础设施</v>
      </c>
      <c r="R35" s="631" t="s">
        <v>25</v>
      </c>
      <c r="S35" s="632">
        <f t="shared" si="12"/>
        <v>100</v>
      </c>
      <c r="T35" s="631" t="s">
        <v>25</v>
      </c>
      <c r="U35" s="632">
        <f t="shared" si="13"/>
        <v>100</v>
      </c>
      <c r="V35" s="631" t="s">
        <v>25</v>
      </c>
      <c r="W35" s="632">
        <f t="shared" si="14"/>
        <v>100</v>
      </c>
      <c r="X35" s="1263"/>
      <c r="Y35" s="3677"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7"/>
      <c r="Q36" s="1262" t="str">
        <f t="shared" si="11"/>
        <v>内部装修</v>
      </c>
      <c r="R36" s="631" t="s">
        <v>25</v>
      </c>
      <c r="S36" s="632">
        <f t="shared" si="12"/>
        <v>100</v>
      </c>
      <c r="T36" s="631" t="s">
        <v>25</v>
      </c>
      <c r="U36" s="632">
        <f t="shared" si="13"/>
        <v>100</v>
      </c>
      <c r="V36" s="631" t="s">
        <v>25</v>
      </c>
      <c r="W36" s="632">
        <f t="shared" si="14"/>
        <v>100</v>
      </c>
      <c r="X36" s="1263"/>
      <c r="Y36" s="3677"/>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7"/>
      <c r="Q37" s="1262" t="str">
        <f t="shared" si="11"/>
        <v>内部装修状况</v>
      </c>
      <c r="R37" s="631" t="s">
        <v>25</v>
      </c>
      <c r="S37" s="632">
        <f t="shared" si="12"/>
        <v>100</v>
      </c>
      <c r="T37" s="631" t="s">
        <v>25</v>
      </c>
      <c r="U37" s="632">
        <f t="shared" si="13"/>
        <v>100</v>
      </c>
      <c r="V37" s="631" t="s">
        <v>25</v>
      </c>
      <c r="W37" s="632">
        <f t="shared" si="14"/>
        <v>100</v>
      </c>
      <c r="X37" s="1263"/>
      <c r="Y37" s="3677"/>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7"/>
      <c r="Q38" s="633">
        <f t="shared" si="11"/>
        <v>111</v>
      </c>
      <c r="R38" s="634" t="s">
        <v>25</v>
      </c>
      <c r="S38" s="635">
        <f t="shared" si="12"/>
        <v>100</v>
      </c>
      <c r="T38" s="634" t="s">
        <v>25</v>
      </c>
      <c r="U38" s="635">
        <f t="shared" si="13"/>
        <v>100</v>
      </c>
      <c r="V38" s="634" t="s">
        <v>25</v>
      </c>
      <c r="W38" s="635">
        <f t="shared" si="14"/>
        <v>100</v>
      </c>
      <c r="X38" s="636"/>
      <c r="Y38" s="3677"/>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7"/>
      <c r="Q39" s="1262">
        <f t="shared" si="11"/>
        <v>111</v>
      </c>
      <c r="R39" s="631" t="s">
        <v>25</v>
      </c>
      <c r="S39" s="632">
        <f t="shared" si="12"/>
        <v>100</v>
      </c>
      <c r="T39" s="631" t="s">
        <v>25</v>
      </c>
      <c r="U39" s="632">
        <f t="shared" si="13"/>
        <v>100</v>
      </c>
      <c r="V39" s="631" t="s">
        <v>25</v>
      </c>
      <c r="W39" s="632">
        <f t="shared" si="14"/>
        <v>100</v>
      </c>
      <c r="X39" s="1263"/>
      <c r="Y39" s="3677"/>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8"/>
      <c r="Q40" s="1262">
        <f t="shared" si="11"/>
        <v>111</v>
      </c>
      <c r="R40" s="631" t="s">
        <v>25</v>
      </c>
      <c r="S40" s="632">
        <f t="shared" si="12"/>
        <v>100</v>
      </c>
      <c r="T40" s="631" t="s">
        <v>25</v>
      </c>
      <c r="U40" s="632">
        <f t="shared" si="13"/>
        <v>100</v>
      </c>
      <c r="V40" s="631" t="s">
        <v>25</v>
      </c>
      <c r="W40" s="632">
        <f t="shared" si="14"/>
        <v>100</v>
      </c>
      <c r="X40" s="1263"/>
      <c r="Y40" s="3678"/>
      <c r="Z40" s="1264">
        <f t="shared" si="15"/>
        <v>111</v>
      </c>
      <c r="AA40" s="1265">
        <f t="shared" si="3"/>
        <v>1</v>
      </c>
      <c r="AB40" s="1265">
        <f t="shared" si="4"/>
        <v>1</v>
      </c>
      <c r="AC40" s="1265">
        <f t="shared" si="5"/>
        <v>1</v>
      </c>
    </row>
    <row r="41" spans="1:29" ht="15">
      <c r="A41" s="367" t="s">
        <v>2048</v>
      </c>
      <c r="B41" s="368"/>
      <c r="C41" s="1082" t="s">
        <v>1</v>
      </c>
      <c r="D41" s="1083"/>
      <c r="E41" s="1084"/>
      <c r="F41" s="1085"/>
      <c r="G41" s="1086"/>
      <c r="H41" s="1087"/>
      <c r="I41" s="1084"/>
      <c r="J41" s="1087"/>
      <c r="K41" s="640"/>
      <c r="L41" s="2955"/>
      <c r="N41" s="2944"/>
      <c r="P41" s="3645" t="str">
        <f>A41</f>
        <v>成交单价（元/平方米）</v>
      </c>
      <c r="Q41" s="3645"/>
      <c r="R41" s="3679">
        <f>E41</f>
        <v>0</v>
      </c>
      <c r="S41" s="3679"/>
      <c r="T41" s="3679">
        <f>G41</f>
        <v>0</v>
      </c>
      <c r="U41" s="3679"/>
      <c r="V41" s="3679">
        <f>I41</f>
        <v>0</v>
      </c>
      <c r="W41" s="3679"/>
      <c r="X41" s="618"/>
      <c r="Y41" s="638"/>
      <c r="Z41" s="618"/>
      <c r="AA41" s="618"/>
      <c r="AB41" s="618"/>
      <c r="AC41" s="618"/>
    </row>
    <row r="42" spans="1:29" ht="15.75" thickBot="1">
      <c r="A42" s="374" t="s">
        <v>2131</v>
      </c>
      <c r="B42" s="375"/>
      <c r="C42" s="1088" t="e">
        <f>R43</f>
        <v>#DIV/0!</v>
      </c>
      <c r="D42" s="1725" t="s">
        <v>2502</v>
      </c>
      <c r="E42" s="1089" t="e">
        <f>R42</f>
        <v>#DIV/0!</v>
      </c>
      <c r="F42" s="1727"/>
      <c r="G42" s="1088" t="e">
        <f>T42</f>
        <v>#DIV/0!</v>
      </c>
      <c r="H42" s="1727"/>
      <c r="I42" s="1089" t="e">
        <f>V42</f>
        <v>#DIV/0!</v>
      </c>
      <c r="J42" s="1727"/>
      <c r="K42" s="2429">
        <f>F42+H42+J42</f>
        <v>0</v>
      </c>
      <c r="L42" s="2955"/>
      <c r="N42" s="2944"/>
      <c r="P42" s="3645" t="str">
        <f>A42</f>
        <v>比较价值（元/平方米）</v>
      </c>
      <c r="Q42" s="3645"/>
      <c r="R42" s="3679" t="e">
        <f>IF(E1="售价",ROUND(PRODUCT(R41,AA7:AA40),0),ROUND(PRODUCT(R41,AA7:AA40),1))</f>
        <v>#DIV/0!</v>
      </c>
      <c r="S42" s="3679"/>
      <c r="T42" s="3679" t="e">
        <f>IF(E1="售价",ROUND(PRODUCT(T41,AB7:AB40),0),ROUND(PRODUCT(T41,AB7:AB40),1))</f>
        <v>#DIV/0!</v>
      </c>
      <c r="U42" s="3679"/>
      <c r="V42" s="3679" t="e">
        <f>IF(E1="售价",ROUND(PRODUCT(V41,AC7:AC40),0),ROUND(PRODUCT(V41,AC7:AC40),1))</f>
        <v>#DIV/0!</v>
      </c>
      <c r="W42" s="3679"/>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5"/>
      <c r="P43" s="3680" t="str">
        <f>A43</f>
        <v>估价对象XX用房的比较价值（楼面单价，元/平方米）</v>
      </c>
      <c r="Q43" s="3681"/>
      <c r="R43" s="3682" t="e">
        <f>IF(E1="售价",ROUND(IF(D42="简单平均",AVERAGE(R42:V42),R42*F42+T42*H42+V42*J42),0),ROUND(IF(D42="简单平均",AVERAGE(R42:V42),R42*F42+T42*H42+V42*J42),1))</f>
        <v>#DIV/0!</v>
      </c>
      <c r="S43" s="3682"/>
      <c r="T43" s="3682"/>
      <c r="U43" s="3682"/>
      <c r="V43" s="3682"/>
      <c r="W43" s="3682"/>
      <c r="X43" s="618"/>
      <c r="Y43" s="618"/>
      <c r="Z43" s="618"/>
      <c r="AA43" s="618"/>
      <c r="AB43" s="618"/>
      <c r="AC43" s="618"/>
    </row>
    <row r="44" spans="1:29">
      <c r="G44" s="2958"/>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2136</v>
      </c>
      <c r="B51" s="618"/>
      <c r="C51" s="621"/>
      <c r="D51" s="621"/>
      <c r="E51" s="621"/>
      <c r="F51" s="622"/>
      <c r="G51" s="622"/>
      <c r="H51" s="621"/>
      <c r="I51" s="621"/>
      <c r="J51" s="621"/>
      <c r="K51" s="623"/>
      <c r="L51" s="624"/>
      <c r="M51" s="621"/>
      <c r="N51" s="2961"/>
      <c r="O51" s="2961"/>
      <c r="P51" s="389"/>
      <c r="Q51" s="390"/>
    </row>
    <row r="52" spans="1:17" s="394" customFormat="1" ht="15">
      <c r="A52" s="391" t="s">
        <v>2018</v>
      </c>
      <c r="B52" s="392"/>
      <c r="C52" s="1116" t="str">
        <f>YEAR(C7)&amp;"-"&amp;MONTH(C7)</f>
        <v>2022-4</v>
      </c>
      <c r="D52" s="1117">
        <f>EDATE(C52,-1)</f>
        <v>44621</v>
      </c>
      <c r="E52" s="1118">
        <f t="shared" ref="E52:O52" si="16">EDATE(D52,-1)</f>
        <v>44593</v>
      </c>
      <c r="F52" s="1118">
        <f t="shared" si="16"/>
        <v>44562</v>
      </c>
      <c r="G52" s="1118">
        <f t="shared" si="16"/>
        <v>44531</v>
      </c>
      <c r="H52" s="1118">
        <f t="shared" si="16"/>
        <v>44501</v>
      </c>
      <c r="I52" s="1118">
        <f t="shared" si="16"/>
        <v>44470</v>
      </c>
      <c r="J52" s="1118">
        <f t="shared" si="16"/>
        <v>44440</v>
      </c>
      <c r="K52" s="1118">
        <f t="shared" si="16"/>
        <v>44409</v>
      </c>
      <c r="L52" s="1118">
        <f t="shared" si="16"/>
        <v>44378</v>
      </c>
      <c r="M52" s="1118">
        <f t="shared" si="16"/>
        <v>44348</v>
      </c>
      <c r="N52" s="1118">
        <f t="shared" si="16"/>
        <v>44317</v>
      </c>
      <c r="O52" s="1118">
        <f t="shared" si="16"/>
        <v>44287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51"/>
      <c r="E1" s="1487"/>
      <c r="F1" s="1152" t="s">
        <v>2003</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2004</v>
      </c>
      <c r="D3" s="292">
        <f>IF(C1="仅计算典型户型",'数据-取费表'!E5,'数据-取费表'!B5)</f>
        <v>176.29</v>
      </c>
      <c r="E3" s="797" t="s">
        <v>2166</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53" t="s">
        <v>2006</v>
      </c>
      <c r="D4" s="3654"/>
      <c r="E4" s="3655" t="s">
        <v>2007</v>
      </c>
      <c r="F4" s="3656"/>
      <c r="G4" s="3653" t="s">
        <v>2008</v>
      </c>
      <c r="H4" s="3654"/>
      <c r="I4" s="3653" t="s">
        <v>2009</v>
      </c>
      <c r="J4" s="3654"/>
      <c r="K4" s="496" t="s">
        <v>2010</v>
      </c>
      <c r="L4" s="2943"/>
      <c r="M4" s="2944"/>
      <c r="N4" s="2944"/>
      <c r="O4" s="2944"/>
      <c r="P4" s="3657" t="s">
        <v>2011</v>
      </c>
      <c r="Q4" s="3658"/>
      <c r="R4" s="3663" t="s">
        <v>2007</v>
      </c>
      <c r="S4" s="3664"/>
      <c r="T4" s="3663" t="s">
        <v>2008</v>
      </c>
      <c r="U4" s="3664"/>
      <c r="V4" s="3669" t="s">
        <v>2009</v>
      </c>
      <c r="W4" s="3669"/>
      <c r="X4" s="1263"/>
      <c r="Y4" s="3663" t="s">
        <v>2011</v>
      </c>
      <c r="Z4" s="3664"/>
      <c r="AA4" s="3650" t="s">
        <v>2007</v>
      </c>
      <c r="AB4" s="3651" t="s">
        <v>2008</v>
      </c>
      <c r="AC4" s="3650" t="s">
        <v>2009</v>
      </c>
    </row>
    <row r="5" spans="1:29" ht="15">
      <c r="A5" s="297"/>
      <c r="B5" s="298"/>
      <c r="C5" s="3646" t="s">
        <v>2012</v>
      </c>
      <c r="D5" s="3647"/>
      <c r="E5" s="3670" t="s">
        <v>2013</v>
      </c>
      <c r="F5" s="3671"/>
      <c r="G5" s="3646" t="s">
        <v>2014</v>
      </c>
      <c r="H5" s="3647"/>
      <c r="I5" s="3646" t="s">
        <v>2015</v>
      </c>
      <c r="J5" s="3647"/>
      <c r="K5" s="496"/>
      <c r="L5" s="2943"/>
      <c r="M5" s="2944"/>
      <c r="N5" s="2944"/>
      <c r="O5" s="2944"/>
      <c r="P5" s="3659"/>
      <c r="Q5" s="3660"/>
      <c r="R5" s="3665"/>
      <c r="S5" s="3666"/>
      <c r="T5" s="3665"/>
      <c r="U5" s="3666"/>
      <c r="V5" s="3669"/>
      <c r="W5" s="3669"/>
      <c r="X5" s="1263"/>
      <c r="Y5" s="3665"/>
      <c r="Z5" s="3666"/>
      <c r="AA5" s="3651"/>
      <c r="AB5" s="3651"/>
      <c r="AC5" s="3651"/>
    </row>
    <row r="6" spans="1:29" ht="15.75" thickBot="1">
      <c r="A6" s="299"/>
      <c r="B6" s="300"/>
      <c r="C6" s="3643" t="s">
        <v>2016</v>
      </c>
      <c r="D6" s="3644"/>
      <c r="E6" s="3641" t="s">
        <v>2016</v>
      </c>
      <c r="F6" s="3642"/>
      <c r="G6" s="3643" t="s">
        <v>2016</v>
      </c>
      <c r="H6" s="3644"/>
      <c r="I6" s="3643" t="s">
        <v>2016</v>
      </c>
      <c r="J6" s="3644"/>
      <c r="K6" s="496" t="s">
        <v>2017</v>
      </c>
      <c r="L6" s="2943"/>
      <c r="M6" s="2944"/>
      <c r="N6" s="2944"/>
      <c r="O6" s="2944"/>
      <c r="P6" s="3661"/>
      <c r="Q6" s="3662"/>
      <c r="R6" s="3665"/>
      <c r="S6" s="3666"/>
      <c r="T6" s="3667"/>
      <c r="U6" s="3668"/>
      <c r="V6" s="3669"/>
      <c r="W6" s="3669"/>
      <c r="X6" s="1263"/>
      <c r="Y6" s="3667"/>
      <c r="Z6" s="3668"/>
      <c r="AA6" s="3652"/>
      <c r="AB6" s="3652"/>
      <c r="AC6" s="3652"/>
    </row>
    <row r="7" spans="1:29" s="25" customFormat="1" ht="15.75" thickBot="1">
      <c r="A7" s="301" t="s">
        <v>2018</v>
      </c>
      <c r="B7" s="302"/>
      <c r="C7" s="303">
        <f>'数据-取费表'!B2</f>
        <v>44676</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8" t="s">
        <v>2019</v>
      </c>
      <c r="Q7" s="3672"/>
      <c r="R7" s="627" t="s">
        <v>25</v>
      </c>
      <c r="S7" s="628">
        <f t="shared" ref="S7:S14" si="0">F7</f>
        <v>0</v>
      </c>
      <c r="T7" s="627" t="s">
        <v>25</v>
      </c>
      <c r="U7" s="628">
        <f t="shared" ref="U7:U14" si="1">H7</f>
        <v>0</v>
      </c>
      <c r="V7" s="627" t="s">
        <v>25</v>
      </c>
      <c r="W7" s="628">
        <f t="shared" ref="W7:W14" si="2">J7</f>
        <v>0</v>
      </c>
      <c r="X7" s="629"/>
      <c r="Y7" s="3648" t="s">
        <v>2019</v>
      </c>
      <c r="Z7" s="3649"/>
      <c r="AA7" s="630" t="e">
        <f>D7/F7</f>
        <v>#DIV/0!</v>
      </c>
      <c r="AB7" s="630" t="e">
        <f>D7/H7</f>
        <v>#DIV/0!</v>
      </c>
      <c r="AC7" s="630"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8" t="s">
        <v>2022</v>
      </c>
      <c r="Q8" s="3649"/>
      <c r="R8" s="627" t="s">
        <v>25</v>
      </c>
      <c r="S8" s="628">
        <f t="shared" si="0"/>
        <v>0</v>
      </c>
      <c r="T8" s="627" t="s">
        <v>25</v>
      </c>
      <c r="U8" s="628">
        <f t="shared" si="1"/>
        <v>0</v>
      </c>
      <c r="V8" s="627" t="s">
        <v>25</v>
      </c>
      <c r="W8" s="628">
        <f t="shared" si="2"/>
        <v>0</v>
      </c>
      <c r="X8" s="629"/>
      <c r="Y8" s="3648" t="s">
        <v>2022</v>
      </c>
      <c r="Z8" s="3649"/>
      <c r="AA8" s="630" t="e">
        <f t="shared" ref="AA8:AA36" si="3">D8/F8</f>
        <v>#DIV/0!</v>
      </c>
      <c r="AB8" s="630" t="e">
        <f t="shared" ref="AB8:AB36" si="4">D8/H8</f>
        <v>#DIV/0!</v>
      </c>
      <c r="AC8" s="630"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5" t="s">
        <v>2025</v>
      </c>
      <c r="Q9" s="1255" t="str">
        <f t="shared" ref="Q9:Q14" si="6">B9</f>
        <v>用途</v>
      </c>
      <c r="R9" s="627" t="s">
        <v>25</v>
      </c>
      <c r="S9" s="628">
        <f t="shared" si="0"/>
        <v>100</v>
      </c>
      <c r="T9" s="627" t="s">
        <v>25</v>
      </c>
      <c r="U9" s="628">
        <f t="shared" si="1"/>
        <v>100</v>
      </c>
      <c r="V9" s="627" t="s">
        <v>25</v>
      </c>
      <c r="W9" s="628">
        <f t="shared" si="2"/>
        <v>100</v>
      </c>
      <c r="X9" s="629"/>
      <c r="Y9" s="3675" t="s">
        <v>2026</v>
      </c>
      <c r="Z9" s="19" t="str">
        <f t="shared" ref="Z9:Z14" si="7">Q9</f>
        <v>用途</v>
      </c>
      <c r="AA9" s="630">
        <f t="shared" si="3"/>
        <v>1</v>
      </c>
      <c r="AB9" s="630">
        <f t="shared" si="4"/>
        <v>1</v>
      </c>
      <c r="AC9" s="630">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5"/>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5"/>
      <c r="Q11" s="1255">
        <f t="shared" si="6"/>
        <v>111</v>
      </c>
      <c r="R11" s="627" t="s">
        <v>25</v>
      </c>
      <c r="S11" s="628">
        <f t="shared" si="0"/>
        <v>100</v>
      </c>
      <c r="T11" s="627" t="s">
        <v>25</v>
      </c>
      <c r="U11" s="628">
        <f t="shared" si="1"/>
        <v>100</v>
      </c>
      <c r="V11" s="627" t="s">
        <v>25</v>
      </c>
      <c r="W11" s="628">
        <f t="shared" si="2"/>
        <v>100</v>
      </c>
      <c r="X11" s="629"/>
      <c r="Y11" s="367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85.5">
      <c r="A14" s="294" t="s">
        <v>2029</v>
      </c>
      <c r="B14" s="511" t="s">
        <v>2167</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73" t="s">
        <v>2030</v>
      </c>
      <c r="Q14" s="1262" t="str">
        <f t="shared" si="6"/>
        <v>交通便捷度</v>
      </c>
      <c r="R14" s="631" t="s">
        <v>25</v>
      </c>
      <c r="S14" s="632">
        <f t="shared" si="0"/>
        <v>100</v>
      </c>
      <c r="T14" s="631" t="s">
        <v>25</v>
      </c>
      <c r="U14" s="632">
        <f t="shared" si="1"/>
        <v>100</v>
      </c>
      <c r="V14" s="631" t="s">
        <v>25</v>
      </c>
      <c r="W14" s="632">
        <f t="shared" si="2"/>
        <v>100</v>
      </c>
      <c r="X14" s="1263"/>
      <c r="Y14" s="3673" t="s">
        <v>2030</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74"/>
      <c r="Q15" s="1262"/>
      <c r="R15" s="631"/>
      <c r="S15" s="632"/>
      <c r="T15" s="631"/>
      <c r="U15" s="632"/>
      <c r="V15" s="631"/>
      <c r="W15" s="632"/>
      <c r="X15" s="1263"/>
      <c r="Y15" s="3674"/>
      <c r="Z15" s="1264"/>
      <c r="AA15" s="1265">
        <v>1</v>
      </c>
      <c r="AB15" s="1265">
        <v>1</v>
      </c>
      <c r="AC15" s="1265">
        <v>1</v>
      </c>
    </row>
    <row r="16" spans="1:29" ht="42.75">
      <c r="A16" s="297"/>
      <c r="B16" s="513" t="s">
        <v>2145</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74"/>
      <c r="Q16" s="1262" t="str">
        <f>B16</f>
        <v>公共配套设施</v>
      </c>
      <c r="R16" s="631" t="s">
        <v>25</v>
      </c>
      <c r="S16" s="632">
        <f>F16</f>
        <v>100</v>
      </c>
      <c r="T16" s="631" t="s">
        <v>25</v>
      </c>
      <c r="U16" s="632">
        <f>H16</f>
        <v>100</v>
      </c>
      <c r="V16" s="631" t="s">
        <v>25</v>
      </c>
      <c r="W16" s="632">
        <f>J16</f>
        <v>100</v>
      </c>
      <c r="X16" s="1263"/>
      <c r="Y16" s="3674"/>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74"/>
      <c r="Q17" s="1262"/>
      <c r="R17" s="631"/>
      <c r="S17" s="632"/>
      <c r="T17" s="631"/>
      <c r="U17" s="632"/>
      <c r="V17" s="631"/>
      <c r="W17" s="632"/>
      <c r="X17" s="1263"/>
      <c r="Y17" s="3674"/>
      <c r="Z17" s="1264"/>
      <c r="AA17" s="1265">
        <v>1</v>
      </c>
      <c r="AB17" s="1265">
        <v>1</v>
      </c>
      <c r="AC17" s="1265">
        <v>1</v>
      </c>
    </row>
    <row r="18" spans="1:29" ht="28.5">
      <c r="A18" s="297"/>
      <c r="B18" s="515" t="s">
        <v>2146</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74"/>
      <c r="Q18" s="1262" t="str">
        <f>B18</f>
        <v>基础设施水平</v>
      </c>
      <c r="R18" s="631" t="s">
        <v>25</v>
      </c>
      <c r="S18" s="632">
        <f>F18</f>
        <v>100</v>
      </c>
      <c r="T18" s="631" t="s">
        <v>25</v>
      </c>
      <c r="U18" s="632">
        <f>H18</f>
        <v>100</v>
      </c>
      <c r="V18" s="631" t="s">
        <v>25</v>
      </c>
      <c r="W18" s="632">
        <f>J18</f>
        <v>100</v>
      </c>
      <c r="X18" s="1263"/>
      <c r="Y18" s="3674"/>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74"/>
      <c r="Q19" s="1262"/>
      <c r="R19" s="631"/>
      <c r="S19" s="632"/>
      <c r="T19" s="631"/>
      <c r="U19" s="632"/>
      <c r="V19" s="631"/>
      <c r="W19" s="632"/>
      <c r="X19" s="1263"/>
      <c r="Y19" s="3674"/>
      <c r="Z19" s="1264"/>
      <c r="AA19" s="1265">
        <v>1</v>
      </c>
      <c r="AB19" s="1265">
        <v>1</v>
      </c>
      <c r="AC19" s="1265">
        <v>1</v>
      </c>
    </row>
    <row r="20" spans="1:29" ht="57">
      <c r="A20" s="297"/>
      <c r="B20" s="513" t="s">
        <v>2168</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74"/>
      <c r="Q20" s="1262" t="str">
        <f>B20</f>
        <v>自然及人文环境</v>
      </c>
      <c r="R20" s="631" t="s">
        <v>25</v>
      </c>
      <c r="S20" s="632">
        <f>F20</f>
        <v>100</v>
      </c>
      <c r="T20" s="631" t="s">
        <v>25</v>
      </c>
      <c r="U20" s="632">
        <f>H20</f>
        <v>100</v>
      </c>
      <c r="V20" s="631" t="s">
        <v>25</v>
      </c>
      <c r="W20" s="632">
        <f>J20</f>
        <v>100</v>
      </c>
      <c r="X20" s="1263"/>
      <c r="Y20" s="3674"/>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74"/>
      <c r="Q21" s="1262"/>
      <c r="R21" s="631"/>
      <c r="S21" s="632"/>
      <c r="T21" s="631"/>
      <c r="U21" s="632"/>
      <c r="V21" s="631"/>
      <c r="W21" s="632"/>
      <c r="X21" s="1263"/>
      <c r="Y21" s="3674"/>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74"/>
      <c r="Q22" s="1262" t="str">
        <f>B22</f>
        <v>楼层</v>
      </c>
      <c r="R22" s="631" t="s">
        <v>25</v>
      </c>
      <c r="S22" s="632">
        <f>F22</f>
        <v>100</v>
      </c>
      <c r="T22" s="631" t="s">
        <v>25</v>
      </c>
      <c r="U22" s="632">
        <f>H22</f>
        <v>100</v>
      </c>
      <c r="V22" s="631" t="s">
        <v>25</v>
      </c>
      <c r="W22" s="632">
        <f>J22</f>
        <v>100</v>
      </c>
      <c r="X22" s="1263"/>
      <c r="Y22" s="3674"/>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74"/>
      <c r="Q23" s="1262">
        <f>B23</f>
        <v>111</v>
      </c>
      <c r="R23" s="631" t="s">
        <v>25</v>
      </c>
      <c r="S23" s="632">
        <f>F23</f>
        <v>100</v>
      </c>
      <c r="T23" s="631" t="s">
        <v>25</v>
      </c>
      <c r="U23" s="632">
        <f>H23</f>
        <v>100</v>
      </c>
      <c r="V23" s="631" t="s">
        <v>25</v>
      </c>
      <c r="W23" s="632">
        <f>J23</f>
        <v>100</v>
      </c>
      <c r="X23" s="1263"/>
      <c r="Y23" s="3674"/>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74"/>
      <c r="Q24" s="1262">
        <f t="shared" ref="Q24:Q36" si="11">B24</f>
        <v>111</v>
      </c>
      <c r="R24" s="631" t="s">
        <v>25</v>
      </c>
      <c r="S24" s="632">
        <f>F24</f>
        <v>100</v>
      </c>
      <c r="T24" s="631" t="s">
        <v>25</v>
      </c>
      <c r="U24" s="632">
        <f>H24</f>
        <v>100</v>
      </c>
      <c r="V24" s="631" t="s">
        <v>25</v>
      </c>
      <c r="W24" s="632">
        <f>J24</f>
        <v>100</v>
      </c>
      <c r="X24" s="1263"/>
      <c r="Y24" s="3674"/>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74"/>
      <c r="Q25" s="1255">
        <f t="shared" si="11"/>
        <v>111</v>
      </c>
      <c r="R25" s="627" t="s">
        <v>25</v>
      </c>
      <c r="S25" s="628">
        <f>F25</f>
        <v>100</v>
      </c>
      <c r="T25" s="627" t="s">
        <v>25</v>
      </c>
      <c r="U25" s="628">
        <f>H25</f>
        <v>100</v>
      </c>
      <c r="V25" s="627" t="s">
        <v>25</v>
      </c>
      <c r="W25" s="628">
        <f>J25</f>
        <v>100</v>
      </c>
      <c r="X25" s="629"/>
      <c r="Y25" s="3674"/>
      <c r="Z25" s="19">
        <f>Q25</f>
        <v>111</v>
      </c>
      <c r="AA25" s="1265">
        <f>D25/F25</f>
        <v>1</v>
      </c>
      <c r="AB25" s="1265">
        <f>D25/H25</f>
        <v>1</v>
      </c>
      <c r="AC25" s="1265">
        <f>D25/J25</f>
        <v>1</v>
      </c>
    </row>
    <row r="26" spans="1:29" ht="28.5">
      <c r="A26" s="533" t="s">
        <v>2034</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76"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7"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7"/>
      <c r="Q27" s="633" t="str">
        <f t="shared" si="11"/>
        <v>项目停车位配比</v>
      </c>
      <c r="R27" s="634" t="s">
        <v>25</v>
      </c>
      <c r="S27" s="635">
        <f t="shared" si="12"/>
        <v>100</v>
      </c>
      <c r="T27" s="634" t="s">
        <v>25</v>
      </c>
      <c r="U27" s="635">
        <f t="shared" si="13"/>
        <v>100</v>
      </c>
      <c r="V27" s="634" t="s">
        <v>25</v>
      </c>
      <c r="W27" s="635">
        <f t="shared" si="14"/>
        <v>100</v>
      </c>
      <c r="X27" s="636"/>
      <c r="Y27" s="3677"/>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7"/>
      <c r="Q28" s="1262" t="str">
        <f t="shared" si="11"/>
        <v>公共部分装修</v>
      </c>
      <c r="R28" s="631" t="s">
        <v>25</v>
      </c>
      <c r="S28" s="632">
        <f t="shared" si="12"/>
        <v>100</v>
      </c>
      <c r="T28" s="631" t="s">
        <v>25</v>
      </c>
      <c r="U28" s="632">
        <f t="shared" si="13"/>
        <v>100</v>
      </c>
      <c r="V28" s="631" t="s">
        <v>25</v>
      </c>
      <c r="W28" s="632">
        <f t="shared" si="14"/>
        <v>100</v>
      </c>
      <c r="X28" s="1263"/>
      <c r="Y28" s="3677"/>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7"/>
      <c r="Q29" s="1262" t="str">
        <f t="shared" si="11"/>
        <v>成新率</v>
      </c>
      <c r="R29" s="631" t="s">
        <v>25</v>
      </c>
      <c r="S29" s="632" t="e">
        <f t="shared" si="12"/>
        <v>#N/A</v>
      </c>
      <c r="T29" s="631" t="s">
        <v>25</v>
      </c>
      <c r="U29" s="632" t="e">
        <f t="shared" si="13"/>
        <v>#N/A</v>
      </c>
      <c r="V29" s="631" t="s">
        <v>25</v>
      </c>
      <c r="W29" s="632" t="e">
        <f t="shared" si="14"/>
        <v>#N/A</v>
      </c>
      <c r="X29" s="1263"/>
      <c r="Y29" s="3677"/>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7"/>
      <c r="Q30" s="1262" t="str">
        <f t="shared" si="11"/>
        <v>物业等级</v>
      </c>
      <c r="R30" s="631" t="s">
        <v>25</v>
      </c>
      <c r="S30" s="632">
        <f t="shared" si="12"/>
        <v>100</v>
      </c>
      <c r="T30" s="631" t="s">
        <v>25</v>
      </c>
      <c r="U30" s="632">
        <f t="shared" si="13"/>
        <v>100</v>
      </c>
      <c r="V30" s="631" t="s">
        <v>25</v>
      </c>
      <c r="W30" s="632">
        <f t="shared" si="14"/>
        <v>100</v>
      </c>
      <c r="X30" s="1263"/>
      <c r="Y30" s="3677"/>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7"/>
      <c r="Q31" s="1255" t="str">
        <f t="shared" si="11"/>
        <v>停车位面积</v>
      </c>
      <c r="R31" s="627" t="s">
        <v>25</v>
      </c>
      <c r="S31" s="628" t="e">
        <f t="shared" si="12"/>
        <v>#N/A</v>
      </c>
      <c r="T31" s="627" t="s">
        <v>25</v>
      </c>
      <c r="U31" s="628" t="e">
        <f t="shared" si="13"/>
        <v>#N/A</v>
      </c>
      <c r="V31" s="627" t="s">
        <v>25</v>
      </c>
      <c r="W31" s="628" t="e">
        <f t="shared" si="14"/>
        <v>#N/A</v>
      </c>
      <c r="X31" s="629"/>
      <c r="Y31" s="3677"/>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7" t="s">
        <v>2036</v>
      </c>
      <c r="Q32" s="1262" t="str">
        <f t="shared" si="11"/>
        <v>车位类型</v>
      </c>
      <c r="R32" s="631" t="s">
        <v>25</v>
      </c>
      <c r="S32" s="632">
        <f t="shared" si="12"/>
        <v>100</v>
      </c>
      <c r="T32" s="631" t="s">
        <v>25</v>
      </c>
      <c r="U32" s="632">
        <f t="shared" si="13"/>
        <v>100</v>
      </c>
      <c r="V32" s="631" t="s">
        <v>25</v>
      </c>
      <c r="W32" s="632">
        <f t="shared" si="14"/>
        <v>100</v>
      </c>
      <c r="X32" s="1263"/>
      <c r="Y32" s="3677"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7"/>
      <c r="Q33" s="1262" t="str">
        <f t="shared" si="11"/>
        <v>是否直接入户</v>
      </c>
      <c r="R33" s="631" t="s">
        <v>25</v>
      </c>
      <c r="S33" s="632">
        <f t="shared" si="12"/>
        <v>100</v>
      </c>
      <c r="T33" s="631" t="s">
        <v>25</v>
      </c>
      <c r="U33" s="632">
        <f t="shared" si="13"/>
        <v>100</v>
      </c>
      <c r="V33" s="631" t="s">
        <v>25</v>
      </c>
      <c r="W33" s="632">
        <f t="shared" si="14"/>
        <v>100</v>
      </c>
      <c r="X33" s="1263"/>
      <c r="Y33" s="3677"/>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7"/>
      <c r="Q34" s="1262">
        <f t="shared" si="11"/>
        <v>111</v>
      </c>
      <c r="R34" s="631" t="s">
        <v>25</v>
      </c>
      <c r="S34" s="632">
        <f t="shared" si="12"/>
        <v>100</v>
      </c>
      <c r="T34" s="631" t="s">
        <v>25</v>
      </c>
      <c r="U34" s="632">
        <f t="shared" si="13"/>
        <v>100</v>
      </c>
      <c r="V34" s="631" t="s">
        <v>25</v>
      </c>
      <c r="W34" s="632">
        <f t="shared" si="14"/>
        <v>100</v>
      </c>
      <c r="X34" s="1263"/>
      <c r="Y34" s="3677"/>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7"/>
      <c r="Q35" s="633">
        <f t="shared" si="11"/>
        <v>111</v>
      </c>
      <c r="R35" s="634" t="s">
        <v>25</v>
      </c>
      <c r="S35" s="635">
        <f t="shared" si="12"/>
        <v>100</v>
      </c>
      <c r="T35" s="634" t="s">
        <v>25</v>
      </c>
      <c r="U35" s="635">
        <f t="shared" si="13"/>
        <v>100</v>
      </c>
      <c r="V35" s="634" t="s">
        <v>25</v>
      </c>
      <c r="W35" s="635">
        <f t="shared" si="14"/>
        <v>100</v>
      </c>
      <c r="X35" s="636"/>
      <c r="Y35" s="3677"/>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7"/>
      <c r="Q36" s="1262">
        <f t="shared" si="11"/>
        <v>111</v>
      </c>
      <c r="R36" s="631" t="s">
        <v>25</v>
      </c>
      <c r="S36" s="632">
        <f t="shared" si="12"/>
        <v>100</v>
      </c>
      <c r="T36" s="631" t="s">
        <v>25</v>
      </c>
      <c r="U36" s="632">
        <f t="shared" si="13"/>
        <v>100</v>
      </c>
      <c r="V36" s="631" t="s">
        <v>25</v>
      </c>
      <c r="W36" s="632">
        <f t="shared" si="14"/>
        <v>100</v>
      </c>
      <c r="X36" s="1263"/>
      <c r="Y36" s="3677"/>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5"/>
      <c r="N37" s="2944"/>
      <c r="P37" s="3645" t="str">
        <f>A37</f>
        <v>成交单价</v>
      </c>
      <c r="Q37" s="3645"/>
      <c r="R37" s="3679">
        <f>E37</f>
        <v>0</v>
      </c>
      <c r="S37" s="3679"/>
      <c r="T37" s="3679">
        <f>G37</f>
        <v>0</v>
      </c>
      <c r="U37" s="3679"/>
      <c r="V37" s="3679">
        <f>I37</f>
        <v>0</v>
      </c>
      <c r="W37" s="3679"/>
      <c r="X37" s="618"/>
      <c r="Y37" s="638"/>
      <c r="Z37" s="618"/>
      <c r="AA37" s="618"/>
      <c r="AB37" s="618"/>
      <c r="AC37" s="618"/>
    </row>
    <row r="38" spans="1:29" ht="15.75" thickBot="1">
      <c r="A38" s="374" t="s">
        <v>2180</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45" t="str">
        <f>A38</f>
        <v>比较价值</v>
      </c>
      <c r="Q38" s="3645"/>
      <c r="R38" s="3679" t="e">
        <f>IF(E1="售价",ROUND(PRODUCT(R37,AA7:AA36),0),ROUND(PRODUCT(R37,AA7:AA36),1))</f>
        <v>#DIV/0!</v>
      </c>
      <c r="S38" s="3679"/>
      <c r="T38" s="3679" t="e">
        <f>IF(E1="售价",ROUND(PRODUCT(T37,AB7:AB36),0),ROUND(PRODUCT(T37,AB7:AB36),1))</f>
        <v>#DIV/0!</v>
      </c>
      <c r="U38" s="3679"/>
      <c r="V38" s="3679" t="e">
        <f>IF(E1="售价",ROUND(PRODUCT(V37,AC7:AC36),0),ROUND(PRODUCT(V37,AC7:AC36),1))</f>
        <v>#DIV/0!</v>
      </c>
      <c r="W38" s="3679"/>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5"/>
      <c r="P39" s="3680" t="str">
        <f>A39</f>
        <v>估价对象XX用房的比较价值（楼面单价，元/平方米）</v>
      </c>
      <c r="Q39" s="3681"/>
      <c r="R39" s="3682" t="e">
        <f>IF(E1="售价",ROUND(IF(D38="简单平均",AVERAGE(R38:W38),R38*F38+T38*H38+V38*J38),0),ROUND(IF(D38="简单平均",AVERAGE(R38:V38),R38*F38+T38*H38+V38*J38),1))</f>
        <v>#DIV/0!</v>
      </c>
      <c r="S39" s="3682"/>
      <c r="T39" s="3682"/>
      <c r="U39" s="3682"/>
      <c r="V39" s="3682"/>
      <c r="W39" s="3682"/>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2022-4</v>
      </c>
      <c r="D48" s="1117">
        <f>EDATE(C48,-1)</f>
        <v>44621</v>
      </c>
      <c r="E48" s="1117">
        <f t="shared" ref="E48:O48" si="16">EDATE(D48,-1)</f>
        <v>44593</v>
      </c>
      <c r="F48" s="1117">
        <f t="shared" si="16"/>
        <v>44562</v>
      </c>
      <c r="G48" s="1117">
        <f t="shared" si="16"/>
        <v>44531</v>
      </c>
      <c r="H48" s="1117">
        <f t="shared" si="16"/>
        <v>44501</v>
      </c>
      <c r="I48" s="1117">
        <f t="shared" si="16"/>
        <v>44470</v>
      </c>
      <c r="J48" s="1117">
        <f t="shared" si="16"/>
        <v>44440</v>
      </c>
      <c r="K48" s="1117">
        <f t="shared" si="16"/>
        <v>44409</v>
      </c>
      <c r="L48" s="1117">
        <f t="shared" si="16"/>
        <v>44378</v>
      </c>
      <c r="M48" s="1117">
        <f t="shared" si="16"/>
        <v>44348</v>
      </c>
      <c r="N48" s="1117">
        <f t="shared" si="16"/>
        <v>44317</v>
      </c>
      <c r="O48" s="1117">
        <f t="shared" si="16"/>
        <v>44287</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60"/>
      <c r="E1" s="1487" t="s">
        <v>2503</v>
      </c>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2004</v>
      </c>
      <c r="D3" s="292">
        <f>IF(C1="仅计算典型户型",'数据-取费表'!E5,'数据-取费表'!B5)</f>
        <v>176.29</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53" t="s">
        <v>2006</v>
      </c>
      <c r="D4" s="3654"/>
      <c r="E4" s="3655" t="s">
        <v>2007</v>
      </c>
      <c r="F4" s="3656"/>
      <c r="G4" s="3653" t="s">
        <v>2008</v>
      </c>
      <c r="H4" s="3654"/>
      <c r="I4" s="3653" t="s">
        <v>2009</v>
      </c>
      <c r="J4" s="3654"/>
      <c r="K4" s="496" t="s">
        <v>2010</v>
      </c>
      <c r="L4" s="2943"/>
      <c r="M4" s="2944"/>
      <c r="N4" s="2944"/>
      <c r="O4" s="2944"/>
      <c r="P4" s="3657" t="s">
        <v>2011</v>
      </c>
      <c r="Q4" s="3658"/>
      <c r="R4" s="3663" t="s">
        <v>2007</v>
      </c>
      <c r="S4" s="3664"/>
      <c r="T4" s="3663" t="s">
        <v>2008</v>
      </c>
      <c r="U4" s="3664"/>
      <c r="V4" s="3669" t="s">
        <v>2009</v>
      </c>
      <c r="W4" s="3669"/>
      <c r="X4" s="1263"/>
      <c r="Y4" s="3663" t="s">
        <v>2011</v>
      </c>
      <c r="Z4" s="3664"/>
      <c r="AA4" s="3650" t="s">
        <v>2007</v>
      </c>
      <c r="AB4" s="3651" t="s">
        <v>2008</v>
      </c>
      <c r="AC4" s="3650" t="s">
        <v>2009</v>
      </c>
    </row>
    <row r="5" spans="1:29" ht="15">
      <c r="A5" s="297"/>
      <c r="B5" s="298"/>
      <c r="C5" s="3646" t="s">
        <v>2012</v>
      </c>
      <c r="D5" s="3647"/>
      <c r="E5" s="3670" t="s">
        <v>2013</v>
      </c>
      <c r="F5" s="3671"/>
      <c r="G5" s="3646" t="s">
        <v>2014</v>
      </c>
      <c r="H5" s="3647"/>
      <c r="I5" s="3646" t="s">
        <v>2015</v>
      </c>
      <c r="J5" s="3647"/>
      <c r="K5" s="496"/>
      <c r="L5" s="2943"/>
      <c r="M5" s="2944"/>
      <c r="N5" s="2944"/>
      <c r="O5" s="2944"/>
      <c r="P5" s="3659"/>
      <c r="Q5" s="3660"/>
      <c r="R5" s="3665"/>
      <c r="S5" s="3666"/>
      <c r="T5" s="3665"/>
      <c r="U5" s="3666"/>
      <c r="V5" s="3669"/>
      <c r="W5" s="3669"/>
      <c r="X5" s="1263"/>
      <c r="Y5" s="3665"/>
      <c r="Z5" s="3666"/>
      <c r="AA5" s="3651"/>
      <c r="AB5" s="3651"/>
      <c r="AC5" s="3651"/>
    </row>
    <row r="6" spans="1:29" ht="15.75" thickBot="1">
      <c r="A6" s="299"/>
      <c r="B6" s="300"/>
      <c r="C6" s="3643" t="s">
        <v>2016</v>
      </c>
      <c r="D6" s="3644"/>
      <c r="E6" s="3641" t="s">
        <v>2016</v>
      </c>
      <c r="F6" s="3642"/>
      <c r="G6" s="3643" t="s">
        <v>2016</v>
      </c>
      <c r="H6" s="3644"/>
      <c r="I6" s="3643" t="s">
        <v>2016</v>
      </c>
      <c r="J6" s="3644"/>
      <c r="K6" s="496" t="s">
        <v>2017</v>
      </c>
      <c r="L6" s="2943"/>
      <c r="M6" s="2944"/>
      <c r="N6" s="2944"/>
      <c r="O6" s="2944"/>
      <c r="P6" s="3661"/>
      <c r="Q6" s="3662"/>
      <c r="R6" s="3665"/>
      <c r="S6" s="3666"/>
      <c r="T6" s="3667"/>
      <c r="U6" s="3668"/>
      <c r="V6" s="3669"/>
      <c r="W6" s="3669"/>
      <c r="X6" s="1263"/>
      <c r="Y6" s="3667"/>
      <c r="Z6" s="3668"/>
      <c r="AA6" s="3652"/>
      <c r="AB6" s="3652"/>
      <c r="AC6" s="3652"/>
    </row>
    <row r="7" spans="1:29" s="25" customFormat="1" ht="15.75" thickBot="1">
      <c r="A7" s="301" t="s">
        <v>2018</v>
      </c>
      <c r="B7" s="302"/>
      <c r="C7" s="303">
        <f>'数据-取费表'!B2</f>
        <v>44676</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8" t="s">
        <v>2019</v>
      </c>
      <c r="Q7" s="3672"/>
      <c r="R7" s="627" t="s">
        <v>25</v>
      </c>
      <c r="S7" s="628">
        <f t="shared" ref="S7:S14" si="0">F7</f>
        <v>0</v>
      </c>
      <c r="T7" s="627" t="s">
        <v>25</v>
      </c>
      <c r="U7" s="628">
        <f t="shared" ref="U7:U14" si="1">H7</f>
        <v>0</v>
      </c>
      <c r="V7" s="627" t="s">
        <v>25</v>
      </c>
      <c r="W7" s="628">
        <f t="shared" ref="W7:W14" si="2">J7</f>
        <v>0</v>
      </c>
      <c r="X7" s="629"/>
      <c r="Y7" s="3648" t="s">
        <v>2019</v>
      </c>
      <c r="Z7" s="3649"/>
      <c r="AA7" s="630" t="e">
        <f>D7/F7</f>
        <v>#DIV/0!</v>
      </c>
      <c r="AB7" s="630" t="e">
        <f>D7/H7</f>
        <v>#DIV/0!</v>
      </c>
      <c r="AC7" s="630"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8" t="s">
        <v>2022</v>
      </c>
      <c r="Q8" s="3649"/>
      <c r="R8" s="627" t="s">
        <v>25</v>
      </c>
      <c r="S8" s="628">
        <f t="shared" si="0"/>
        <v>0</v>
      </c>
      <c r="T8" s="627" t="s">
        <v>25</v>
      </c>
      <c r="U8" s="628">
        <f t="shared" si="1"/>
        <v>0</v>
      </c>
      <c r="V8" s="627" t="s">
        <v>25</v>
      </c>
      <c r="W8" s="628">
        <f t="shared" si="2"/>
        <v>0</v>
      </c>
      <c r="X8" s="629"/>
      <c r="Y8" s="3648" t="s">
        <v>2022</v>
      </c>
      <c r="Z8" s="3649"/>
      <c r="AA8" s="630" t="e">
        <f t="shared" ref="AA8:AA34" si="3">D8/F8</f>
        <v>#DIV/0!</v>
      </c>
      <c r="AB8" s="630" t="e">
        <f t="shared" ref="AB8:AB34" si="4">D8/H8</f>
        <v>#DIV/0!</v>
      </c>
      <c r="AC8" s="630"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5" t="s">
        <v>2025</v>
      </c>
      <c r="Q9" s="1255" t="str">
        <f t="shared" ref="Q9:Q14" si="6">B9</f>
        <v>用途</v>
      </c>
      <c r="R9" s="627" t="s">
        <v>25</v>
      </c>
      <c r="S9" s="628">
        <f t="shared" si="0"/>
        <v>100</v>
      </c>
      <c r="T9" s="627" t="s">
        <v>25</v>
      </c>
      <c r="U9" s="628">
        <f t="shared" si="1"/>
        <v>100</v>
      </c>
      <c r="V9" s="627" t="s">
        <v>25</v>
      </c>
      <c r="W9" s="628">
        <f t="shared" si="2"/>
        <v>100</v>
      </c>
      <c r="X9" s="629"/>
      <c r="Y9" s="3675" t="s">
        <v>2026</v>
      </c>
      <c r="Z9" s="19" t="str">
        <f t="shared" ref="Z9:Z14" si="7">Q9</f>
        <v>用途</v>
      </c>
      <c r="AA9" s="630">
        <f t="shared" si="3"/>
        <v>1</v>
      </c>
      <c r="AB9" s="630">
        <f t="shared" si="4"/>
        <v>1</v>
      </c>
      <c r="AC9" s="630">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5"/>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5"/>
      <c r="Q11" s="1255">
        <f t="shared" si="6"/>
        <v>111</v>
      </c>
      <c r="R11" s="627" t="s">
        <v>25</v>
      </c>
      <c r="S11" s="628">
        <f t="shared" si="0"/>
        <v>100</v>
      </c>
      <c r="T11" s="627" t="s">
        <v>25</v>
      </c>
      <c r="U11" s="628">
        <f t="shared" si="1"/>
        <v>100</v>
      </c>
      <c r="V11" s="627" t="s">
        <v>25</v>
      </c>
      <c r="W11" s="628">
        <f t="shared" si="2"/>
        <v>100</v>
      </c>
      <c r="X11" s="629"/>
      <c r="Y11" s="3675"/>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85.5">
      <c r="A14" s="329" t="s">
        <v>2029</v>
      </c>
      <c r="B14" s="22" t="s">
        <v>2167</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73" t="s">
        <v>2030</v>
      </c>
      <c r="Q14" s="1262" t="str">
        <f t="shared" si="6"/>
        <v>交通便捷度</v>
      </c>
      <c r="R14" s="631" t="s">
        <v>25</v>
      </c>
      <c r="S14" s="632">
        <f t="shared" si="0"/>
        <v>100</v>
      </c>
      <c r="T14" s="631" t="s">
        <v>25</v>
      </c>
      <c r="U14" s="632">
        <f t="shared" si="1"/>
        <v>100</v>
      </c>
      <c r="V14" s="631" t="s">
        <v>25</v>
      </c>
      <c r="W14" s="632">
        <f t="shared" si="2"/>
        <v>100</v>
      </c>
      <c r="X14" s="1263"/>
      <c r="Y14" s="3673" t="s">
        <v>2030</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74"/>
      <c r="Q15" s="1262"/>
      <c r="R15" s="631"/>
      <c r="S15" s="632"/>
      <c r="T15" s="631"/>
      <c r="U15" s="632"/>
      <c r="V15" s="631"/>
      <c r="W15" s="632"/>
      <c r="X15" s="1263"/>
      <c r="Y15" s="3674"/>
      <c r="Z15" s="1264"/>
      <c r="AA15" s="1265">
        <v>1</v>
      </c>
      <c r="AB15" s="1265">
        <v>1</v>
      </c>
      <c r="AC15" s="1265">
        <v>1</v>
      </c>
    </row>
    <row r="16" spans="1:29" ht="42.75">
      <c r="A16" s="318"/>
      <c r="B16" s="513" t="s">
        <v>2145</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74"/>
      <c r="Q16" s="1262" t="str">
        <f>B16</f>
        <v>公共配套设施</v>
      </c>
      <c r="R16" s="631" t="s">
        <v>25</v>
      </c>
      <c r="S16" s="632">
        <f>F16</f>
        <v>100</v>
      </c>
      <c r="T16" s="631" t="s">
        <v>25</v>
      </c>
      <c r="U16" s="632">
        <f>H16</f>
        <v>100</v>
      </c>
      <c r="V16" s="631" t="s">
        <v>25</v>
      </c>
      <c r="W16" s="632">
        <f>J16</f>
        <v>100</v>
      </c>
      <c r="X16" s="1263"/>
      <c r="Y16" s="3674"/>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74"/>
      <c r="Q17" s="1262"/>
      <c r="R17" s="631"/>
      <c r="S17" s="632"/>
      <c r="T17" s="631"/>
      <c r="U17" s="632"/>
      <c r="V17" s="631"/>
      <c r="W17" s="632"/>
      <c r="X17" s="1263"/>
      <c r="Y17" s="3674"/>
      <c r="Z17" s="1264"/>
      <c r="AA17" s="1265">
        <v>1</v>
      </c>
      <c r="AB17" s="1265">
        <v>1</v>
      </c>
      <c r="AC17" s="1265">
        <v>1</v>
      </c>
    </row>
    <row r="18" spans="1:29" ht="28.5">
      <c r="A18" s="318"/>
      <c r="B18" s="515" t="s">
        <v>2146</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74"/>
      <c r="Q18" s="1262" t="str">
        <f>B18</f>
        <v>基础设施水平</v>
      </c>
      <c r="R18" s="631" t="s">
        <v>25</v>
      </c>
      <c r="S18" s="632">
        <f>F18</f>
        <v>100</v>
      </c>
      <c r="T18" s="631" t="s">
        <v>25</v>
      </c>
      <c r="U18" s="632">
        <f>H18</f>
        <v>100</v>
      </c>
      <c r="V18" s="631" t="s">
        <v>25</v>
      </c>
      <c r="W18" s="632">
        <f>J18</f>
        <v>100</v>
      </c>
      <c r="X18" s="1263"/>
      <c r="Y18" s="3674"/>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74"/>
      <c r="Q19" s="1262"/>
      <c r="R19" s="631"/>
      <c r="S19" s="632"/>
      <c r="T19" s="631"/>
      <c r="U19" s="632"/>
      <c r="V19" s="631"/>
      <c r="W19" s="632"/>
      <c r="X19" s="1263"/>
      <c r="Y19" s="3674"/>
      <c r="Z19" s="1264"/>
      <c r="AA19" s="1265">
        <v>1</v>
      </c>
      <c r="AB19" s="1265">
        <v>1</v>
      </c>
      <c r="AC19" s="1265">
        <v>1</v>
      </c>
    </row>
    <row r="20" spans="1:29" ht="57">
      <c r="A20" s="318"/>
      <c r="B20" s="340" t="s">
        <v>2168</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74"/>
      <c r="Q20" s="1262" t="str">
        <f>B20</f>
        <v>自然及人文环境</v>
      </c>
      <c r="R20" s="631" t="s">
        <v>25</v>
      </c>
      <c r="S20" s="632">
        <f>F20</f>
        <v>100</v>
      </c>
      <c r="T20" s="631" t="s">
        <v>25</v>
      </c>
      <c r="U20" s="632">
        <f>H20</f>
        <v>100</v>
      </c>
      <c r="V20" s="631" t="s">
        <v>25</v>
      </c>
      <c r="W20" s="632">
        <f>J20</f>
        <v>100</v>
      </c>
      <c r="X20" s="1263"/>
      <c r="Y20" s="3674"/>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74"/>
      <c r="Q21" s="1262"/>
      <c r="R21" s="631"/>
      <c r="S21" s="632"/>
      <c r="T21" s="631"/>
      <c r="U21" s="632"/>
      <c r="V21" s="631"/>
      <c r="W21" s="632"/>
      <c r="X21" s="1263"/>
      <c r="Y21" s="3674"/>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74"/>
      <c r="Q22" s="1262" t="str">
        <f>B22</f>
        <v>楼层</v>
      </c>
      <c r="R22" s="631" t="s">
        <v>25</v>
      </c>
      <c r="S22" s="632">
        <f>F22</f>
        <v>100</v>
      </c>
      <c r="T22" s="631" t="s">
        <v>25</v>
      </c>
      <c r="U22" s="632">
        <f>H22</f>
        <v>100</v>
      </c>
      <c r="V22" s="631" t="s">
        <v>25</v>
      </c>
      <c r="W22" s="632">
        <f>J22</f>
        <v>100</v>
      </c>
      <c r="X22" s="1263"/>
      <c r="Y22" s="3674"/>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74"/>
      <c r="Q23" s="1262">
        <f>B23</f>
        <v>111</v>
      </c>
      <c r="R23" s="631" t="s">
        <v>25</v>
      </c>
      <c r="S23" s="632">
        <f>F23</f>
        <v>100</v>
      </c>
      <c r="T23" s="631" t="s">
        <v>25</v>
      </c>
      <c r="U23" s="632">
        <f>H23</f>
        <v>100</v>
      </c>
      <c r="V23" s="631" t="s">
        <v>25</v>
      </c>
      <c r="W23" s="632">
        <f>J23</f>
        <v>100</v>
      </c>
      <c r="X23" s="1263"/>
      <c r="Y23" s="3674"/>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74"/>
      <c r="Q24" s="1262">
        <f t="shared" ref="Q24:Q34" si="11">B24</f>
        <v>111</v>
      </c>
      <c r="R24" s="631" t="s">
        <v>25</v>
      </c>
      <c r="S24" s="632">
        <f>F24</f>
        <v>100</v>
      </c>
      <c r="T24" s="631" t="s">
        <v>25</v>
      </c>
      <c r="U24" s="632">
        <f>H24</f>
        <v>100</v>
      </c>
      <c r="V24" s="631" t="s">
        <v>25</v>
      </c>
      <c r="W24" s="632">
        <f>J24</f>
        <v>100</v>
      </c>
      <c r="X24" s="1263"/>
      <c r="Y24" s="3674"/>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74"/>
      <c r="Q25" s="1255">
        <f t="shared" si="11"/>
        <v>111</v>
      </c>
      <c r="R25" s="627" t="s">
        <v>25</v>
      </c>
      <c r="S25" s="628">
        <f>F25</f>
        <v>100</v>
      </c>
      <c r="T25" s="627" t="s">
        <v>25</v>
      </c>
      <c r="U25" s="628">
        <f>H25</f>
        <v>100</v>
      </c>
      <c r="V25" s="627" t="s">
        <v>25</v>
      </c>
      <c r="W25" s="628">
        <f>J25</f>
        <v>100</v>
      </c>
      <c r="X25" s="629"/>
      <c r="Y25" s="3674"/>
      <c r="Z25" s="19">
        <f>Q25</f>
        <v>111</v>
      </c>
      <c r="AA25" s="1265">
        <f>D25/F25</f>
        <v>1</v>
      </c>
      <c r="AB25" s="1265">
        <f>D25/H25</f>
        <v>1</v>
      </c>
      <c r="AC25" s="1265">
        <f>D25/J25</f>
        <v>1</v>
      </c>
    </row>
    <row r="26" spans="1:29" ht="28.5">
      <c r="A26" s="354" t="s">
        <v>2034</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76"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7"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7"/>
      <c r="Q27" s="633" t="str">
        <f t="shared" si="11"/>
        <v>成新率</v>
      </c>
      <c r="R27" s="634" t="s">
        <v>25</v>
      </c>
      <c r="S27" s="635" t="e">
        <f t="shared" si="12"/>
        <v>#N/A</v>
      </c>
      <c r="T27" s="634" t="s">
        <v>25</v>
      </c>
      <c r="U27" s="635" t="e">
        <f t="shared" si="13"/>
        <v>#N/A</v>
      </c>
      <c r="V27" s="634" t="s">
        <v>25</v>
      </c>
      <c r="W27" s="635" t="e">
        <f t="shared" si="14"/>
        <v>#N/A</v>
      </c>
      <c r="X27" s="636"/>
      <c r="Y27" s="3677"/>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7"/>
      <c r="Q28" s="1262" t="str">
        <f t="shared" si="11"/>
        <v>物业等级</v>
      </c>
      <c r="R28" s="631" t="s">
        <v>25</v>
      </c>
      <c r="S28" s="632">
        <f t="shared" si="12"/>
        <v>100</v>
      </c>
      <c r="T28" s="631" t="s">
        <v>25</v>
      </c>
      <c r="U28" s="632">
        <f t="shared" si="13"/>
        <v>100</v>
      </c>
      <c r="V28" s="631" t="s">
        <v>25</v>
      </c>
      <c r="W28" s="632">
        <f t="shared" si="14"/>
        <v>100</v>
      </c>
      <c r="X28" s="1263"/>
      <c r="Y28" s="3677"/>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7"/>
      <c r="Q29" s="1262" t="str">
        <f t="shared" si="11"/>
        <v>有无电梯</v>
      </c>
      <c r="R29" s="631" t="s">
        <v>25</v>
      </c>
      <c r="S29" s="632">
        <f t="shared" si="12"/>
        <v>100</v>
      </c>
      <c r="T29" s="631" t="s">
        <v>25</v>
      </c>
      <c r="U29" s="632">
        <f t="shared" si="13"/>
        <v>100</v>
      </c>
      <c r="V29" s="631" t="s">
        <v>25</v>
      </c>
      <c r="W29" s="632">
        <f t="shared" si="14"/>
        <v>100</v>
      </c>
      <c r="X29" s="1263"/>
      <c r="Y29" s="3677"/>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7"/>
      <c r="Q30" s="1262" t="str">
        <f t="shared" si="11"/>
        <v>建筑面积</v>
      </c>
      <c r="R30" s="631" t="s">
        <v>25</v>
      </c>
      <c r="S30" s="632" t="e">
        <f t="shared" si="12"/>
        <v>#N/A</v>
      </c>
      <c r="T30" s="631" t="s">
        <v>25</v>
      </c>
      <c r="U30" s="632" t="e">
        <f t="shared" si="13"/>
        <v>#N/A</v>
      </c>
      <c r="V30" s="631" t="s">
        <v>25</v>
      </c>
      <c r="W30" s="632" t="e">
        <f t="shared" si="14"/>
        <v>#N/A</v>
      </c>
      <c r="X30" s="1263"/>
      <c r="Y30" s="3677"/>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7"/>
      <c r="Q31" s="1255" t="str">
        <f t="shared" si="11"/>
        <v>是否封闭</v>
      </c>
      <c r="R31" s="627" t="s">
        <v>25</v>
      </c>
      <c r="S31" s="628">
        <f t="shared" si="12"/>
        <v>100</v>
      </c>
      <c r="T31" s="627" t="s">
        <v>25</v>
      </c>
      <c r="U31" s="628">
        <f t="shared" si="13"/>
        <v>100</v>
      </c>
      <c r="V31" s="627" t="s">
        <v>25</v>
      </c>
      <c r="W31" s="628">
        <f t="shared" si="14"/>
        <v>100</v>
      </c>
      <c r="X31" s="629"/>
      <c r="Y31" s="3677"/>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7" t="s">
        <v>2036</v>
      </c>
      <c r="Q32" s="1262">
        <f t="shared" si="11"/>
        <v>111</v>
      </c>
      <c r="R32" s="631" t="s">
        <v>25</v>
      </c>
      <c r="S32" s="632">
        <f t="shared" si="12"/>
        <v>100</v>
      </c>
      <c r="T32" s="631" t="s">
        <v>25</v>
      </c>
      <c r="U32" s="632">
        <f t="shared" si="13"/>
        <v>100</v>
      </c>
      <c r="V32" s="631" t="s">
        <v>25</v>
      </c>
      <c r="W32" s="632">
        <f t="shared" si="14"/>
        <v>100</v>
      </c>
      <c r="X32" s="1263"/>
      <c r="Y32" s="3677" t="s">
        <v>2036</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7"/>
      <c r="Q33" s="1262">
        <f t="shared" si="11"/>
        <v>111</v>
      </c>
      <c r="R33" s="631" t="s">
        <v>25</v>
      </c>
      <c r="S33" s="632">
        <f t="shared" si="12"/>
        <v>100</v>
      </c>
      <c r="T33" s="631" t="s">
        <v>25</v>
      </c>
      <c r="U33" s="632">
        <f t="shared" si="13"/>
        <v>100</v>
      </c>
      <c r="V33" s="631" t="s">
        <v>25</v>
      </c>
      <c r="W33" s="632">
        <f t="shared" si="14"/>
        <v>100</v>
      </c>
      <c r="X33" s="1263"/>
      <c r="Y33" s="3677"/>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7"/>
      <c r="Q34" s="1262">
        <f t="shared" si="11"/>
        <v>111</v>
      </c>
      <c r="R34" s="631" t="s">
        <v>25</v>
      </c>
      <c r="S34" s="632">
        <f t="shared" si="12"/>
        <v>100</v>
      </c>
      <c r="T34" s="631" t="s">
        <v>25</v>
      </c>
      <c r="U34" s="632">
        <f t="shared" si="13"/>
        <v>100</v>
      </c>
      <c r="V34" s="631" t="s">
        <v>25</v>
      </c>
      <c r="W34" s="632">
        <f t="shared" si="14"/>
        <v>100</v>
      </c>
      <c r="X34" s="1263"/>
      <c r="Y34" s="3677"/>
      <c r="Z34" s="1264">
        <f t="shared" si="15"/>
        <v>111</v>
      </c>
      <c r="AA34" s="1265">
        <f t="shared" si="3"/>
        <v>1</v>
      </c>
      <c r="AB34" s="1265">
        <f t="shared" si="4"/>
        <v>1</v>
      </c>
      <c r="AC34" s="1265">
        <f t="shared" si="5"/>
        <v>1</v>
      </c>
    </row>
    <row r="35" spans="1:29" ht="15">
      <c r="A35" s="367" t="s">
        <v>2048</v>
      </c>
      <c r="B35" s="368"/>
      <c r="C35" s="1082" t="s">
        <v>1</v>
      </c>
      <c r="D35" s="1083"/>
      <c r="E35" s="1084"/>
      <c r="F35" s="1085"/>
      <c r="G35" s="1086"/>
      <c r="H35" s="1087"/>
      <c r="I35" s="1084"/>
      <c r="J35" s="1087"/>
      <c r="K35" s="640"/>
      <c r="L35" s="2955"/>
      <c r="N35" s="2944"/>
      <c r="P35" s="3645" t="str">
        <f>A35</f>
        <v>成交单价（元/平方米）</v>
      </c>
      <c r="Q35" s="3645"/>
      <c r="R35" s="3679">
        <f>E35</f>
        <v>0</v>
      </c>
      <c r="S35" s="3679"/>
      <c r="T35" s="3679">
        <f>G35</f>
        <v>0</v>
      </c>
      <c r="U35" s="3679"/>
      <c r="V35" s="3679">
        <f>I35</f>
        <v>0</v>
      </c>
      <c r="W35" s="3679"/>
      <c r="X35" s="618"/>
      <c r="Y35" s="638"/>
      <c r="Z35" s="618"/>
      <c r="AA35" s="618"/>
      <c r="AB35" s="618"/>
      <c r="AC35" s="618"/>
    </row>
    <row r="36" spans="1:29" ht="15.75" thickBot="1">
      <c r="A36" s="374" t="s">
        <v>2131</v>
      </c>
      <c r="B36" s="375"/>
      <c r="C36" s="1088" t="e">
        <f>R37</f>
        <v>#DIV/0!</v>
      </c>
      <c r="D36" s="1725" t="s">
        <v>2502</v>
      </c>
      <c r="E36" s="1089" t="e">
        <f>R36</f>
        <v>#DIV/0!</v>
      </c>
      <c r="F36" s="1727"/>
      <c r="G36" s="1088" t="e">
        <f>T36</f>
        <v>#DIV/0!</v>
      </c>
      <c r="H36" s="1727"/>
      <c r="I36" s="1089" t="e">
        <f>V36</f>
        <v>#DIV/0!</v>
      </c>
      <c r="J36" s="1727"/>
      <c r="K36" s="2429">
        <f>F36+H36+J36</f>
        <v>0</v>
      </c>
      <c r="L36" s="2955"/>
      <c r="N36" s="2944"/>
      <c r="P36" s="3645" t="str">
        <f>A36</f>
        <v>比较价值（元/平方米）</v>
      </c>
      <c r="Q36" s="3645"/>
      <c r="R36" s="3679" t="e">
        <f>IF(E1="售价",ROUND(PRODUCT(R35,AA7:AA34),0),ROUND(PRODUCT(R35,AA7:AA34),1))</f>
        <v>#DIV/0!</v>
      </c>
      <c r="S36" s="3679"/>
      <c r="T36" s="3679" t="e">
        <f>IF(E1="售价",ROUND(PRODUCT(T35,AB7:AB34),0),ROUND(PRODUCT(T35,AB7:AB34),1))</f>
        <v>#DIV/0!</v>
      </c>
      <c r="U36" s="3679"/>
      <c r="V36" s="3679" t="e">
        <f>IF(E1="售价",ROUND(PRODUCT(V35,AC7:AC34),0),ROUND(PRODUCT(V35,AC7:AC34),1))</f>
        <v>#DIV/0!</v>
      </c>
      <c r="W36" s="3679"/>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5"/>
      <c r="P37" s="3680" t="str">
        <f>A37</f>
        <v>估价对象XX用房的比较价值（楼面单价，元/平方米）</v>
      </c>
      <c r="Q37" s="3681"/>
      <c r="R37" s="3682" t="e">
        <f>IF(E1="售价",ROUND(IF(D36="简单平均",AVERAGE(R36:W36),R36*F36+T36*H36+V36*J36),0),ROUND(IF(D36="简单平均",AVERAGE(R36:V36),R36*F36+T36*H36+V36*J36),1))</f>
        <v>#DIV/0!</v>
      </c>
      <c r="S37" s="3682"/>
      <c r="T37" s="3682"/>
      <c r="U37" s="3682"/>
      <c r="V37" s="3682"/>
      <c r="W37" s="3682"/>
      <c r="X37" s="618"/>
      <c r="Y37" s="618"/>
      <c r="Z37" s="618"/>
      <c r="AA37" s="618"/>
      <c r="AB37" s="618"/>
      <c r="AC37" s="618"/>
    </row>
    <row r="38" spans="1:29">
      <c r="G38" s="2958"/>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2136</v>
      </c>
      <c r="B45" s="618"/>
      <c r="C45" s="621"/>
      <c r="D45" s="621"/>
      <c r="E45" s="621"/>
      <c r="F45" s="622"/>
      <c r="G45" s="622"/>
      <c r="H45" s="621"/>
      <c r="I45" s="621"/>
      <c r="J45" s="621"/>
      <c r="K45" s="623"/>
      <c r="L45" s="624"/>
      <c r="M45" s="621"/>
      <c r="N45" s="2961"/>
      <c r="O45" s="2961"/>
      <c r="P45" s="389"/>
      <c r="Q45" s="390"/>
    </row>
    <row r="46" spans="1:29" s="394" customFormat="1" ht="15">
      <c r="A46" s="391" t="s">
        <v>2018</v>
      </c>
      <c r="B46" s="392"/>
      <c r="C46" s="1116" t="str">
        <f>YEAR(C7)&amp;"-"&amp;MONTH(C7)</f>
        <v>2022-4</v>
      </c>
      <c r="D46" s="1117">
        <f>EDATE(C46,-1)</f>
        <v>44621</v>
      </c>
      <c r="E46" s="1117">
        <f t="shared" ref="E46:O46" si="16">EDATE(D46,-1)</f>
        <v>44593</v>
      </c>
      <c r="F46" s="1117">
        <f t="shared" si="16"/>
        <v>44562</v>
      </c>
      <c r="G46" s="1117">
        <f t="shared" si="16"/>
        <v>44531</v>
      </c>
      <c r="H46" s="1117">
        <f t="shared" si="16"/>
        <v>44501</v>
      </c>
      <c r="I46" s="1117">
        <f t="shared" si="16"/>
        <v>44470</v>
      </c>
      <c r="J46" s="1117">
        <f t="shared" si="16"/>
        <v>44440</v>
      </c>
      <c r="K46" s="1117">
        <f t="shared" si="16"/>
        <v>44409</v>
      </c>
      <c r="L46" s="1117">
        <f t="shared" si="16"/>
        <v>44378</v>
      </c>
      <c r="M46" s="1117">
        <f t="shared" si="16"/>
        <v>44348</v>
      </c>
      <c r="N46" s="1117">
        <f t="shared" si="16"/>
        <v>44317</v>
      </c>
      <c r="O46" s="1117">
        <f t="shared" si="16"/>
        <v>44287</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2201</v>
      </c>
      <c r="B1" s="1880"/>
      <c r="C1" s="1881" t="s">
        <v>2202</v>
      </c>
      <c r="D1" s="1880"/>
      <c r="E1" s="1880"/>
      <c r="F1" s="1882" t="s">
        <v>2003</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2203</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2204</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2005</v>
      </c>
      <c r="B4" s="1592"/>
      <c r="C4" s="3577" t="s">
        <v>2006</v>
      </c>
      <c r="D4" s="3578"/>
      <c r="E4" s="3579" t="s">
        <v>2007</v>
      </c>
      <c r="F4" s="3580"/>
      <c r="G4" s="3577" t="s">
        <v>2008</v>
      </c>
      <c r="H4" s="3578"/>
      <c r="I4" s="3577" t="s">
        <v>2009</v>
      </c>
      <c r="J4" s="3578"/>
      <c r="K4" s="1894" t="s">
        <v>2010</v>
      </c>
      <c r="L4" s="2915"/>
      <c r="M4" s="2916"/>
      <c r="N4" s="2916"/>
      <c r="O4" s="2916"/>
      <c r="P4" s="3581" t="s">
        <v>2011</v>
      </c>
      <c r="Q4" s="3582"/>
      <c r="R4" s="3587" t="s">
        <v>2007</v>
      </c>
      <c r="S4" s="3588"/>
      <c r="T4" s="3587" t="s">
        <v>2008</v>
      </c>
      <c r="U4" s="3588"/>
      <c r="V4" s="3593" t="s">
        <v>2009</v>
      </c>
      <c r="W4" s="3593"/>
      <c r="X4" s="1594"/>
      <c r="Y4" s="3587" t="s">
        <v>2011</v>
      </c>
      <c r="Z4" s="3588"/>
      <c r="AA4" s="3574" t="s">
        <v>2007</v>
      </c>
      <c r="AB4" s="3575" t="s">
        <v>2008</v>
      </c>
      <c r="AC4" s="3574" t="s">
        <v>2009</v>
      </c>
    </row>
    <row r="5" spans="1:30" ht="15">
      <c r="A5" s="1596"/>
      <c r="B5" s="1597"/>
      <c r="C5" s="3570" t="s">
        <v>2012</v>
      </c>
      <c r="D5" s="3571"/>
      <c r="E5" s="3594" t="s">
        <v>2013</v>
      </c>
      <c r="F5" s="3595"/>
      <c r="G5" s="3570" t="s">
        <v>2014</v>
      </c>
      <c r="H5" s="3571"/>
      <c r="I5" s="3570" t="s">
        <v>2015</v>
      </c>
      <c r="J5" s="3571"/>
      <c r="K5" s="1894"/>
      <c r="L5" s="2915"/>
      <c r="M5" s="2916"/>
      <c r="N5" s="2916"/>
      <c r="O5" s="2916"/>
      <c r="P5" s="3583"/>
      <c r="Q5" s="3584"/>
      <c r="R5" s="3589"/>
      <c r="S5" s="3590"/>
      <c r="T5" s="3589"/>
      <c r="U5" s="3590"/>
      <c r="V5" s="3593"/>
      <c r="W5" s="3593"/>
      <c r="X5" s="1594"/>
      <c r="Y5" s="3589"/>
      <c r="Z5" s="3590"/>
      <c r="AA5" s="3575"/>
      <c r="AB5" s="3575"/>
      <c r="AC5" s="3575"/>
    </row>
    <row r="6" spans="1:30" ht="15.75" thickBot="1">
      <c r="A6" s="1599"/>
      <c r="B6" s="1600"/>
      <c r="C6" s="3567" t="s">
        <v>2016</v>
      </c>
      <c r="D6" s="3568"/>
      <c r="E6" s="3565" t="s">
        <v>2016</v>
      </c>
      <c r="F6" s="3566"/>
      <c r="G6" s="3567" t="s">
        <v>2016</v>
      </c>
      <c r="H6" s="3568"/>
      <c r="I6" s="3567" t="s">
        <v>2016</v>
      </c>
      <c r="J6" s="3568"/>
      <c r="K6" s="1894" t="s">
        <v>2017</v>
      </c>
      <c r="L6" s="2915"/>
      <c r="M6" s="2916"/>
      <c r="N6" s="2916"/>
      <c r="O6" s="2916"/>
      <c r="P6" s="3585"/>
      <c r="Q6" s="3586"/>
      <c r="R6" s="3589"/>
      <c r="S6" s="3590"/>
      <c r="T6" s="3591"/>
      <c r="U6" s="3592"/>
      <c r="V6" s="3593"/>
      <c r="W6" s="3593"/>
      <c r="X6" s="1594"/>
      <c r="Y6" s="3591"/>
      <c r="Z6" s="3592"/>
      <c r="AA6" s="3576"/>
      <c r="AB6" s="3576"/>
      <c r="AC6" s="3576"/>
    </row>
    <row r="7" spans="1:30" s="1613" customFormat="1" ht="15.75" thickBot="1">
      <c r="A7" s="1601" t="s">
        <v>2018</v>
      </c>
      <c r="B7" s="1602"/>
      <c r="C7" s="1603">
        <f>'数据-取费表'!B2</f>
        <v>44676</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72" t="s">
        <v>2019</v>
      </c>
      <c r="Q7" s="3596"/>
      <c r="R7" s="1609" t="s">
        <v>25</v>
      </c>
      <c r="S7" s="1610">
        <f t="shared" ref="S7:S15" si="0">F7</f>
        <v>0</v>
      </c>
      <c r="T7" s="1609" t="s">
        <v>25</v>
      </c>
      <c r="U7" s="1610">
        <f t="shared" ref="U7:U15" si="1">H7</f>
        <v>0</v>
      </c>
      <c r="V7" s="1609" t="s">
        <v>25</v>
      </c>
      <c r="W7" s="1610">
        <f t="shared" ref="W7:W15" si="2">J7</f>
        <v>0</v>
      </c>
      <c r="X7" s="1611"/>
      <c r="Y7" s="3572" t="s">
        <v>2019</v>
      </c>
      <c r="Z7" s="3573"/>
      <c r="AA7" s="1612" t="e">
        <f>D7/F7</f>
        <v>#DIV/0!</v>
      </c>
      <c r="AB7" s="1612" t="e">
        <f>D7/H7</f>
        <v>#DIV/0!</v>
      </c>
      <c r="AC7" s="1612" t="e">
        <f>D7/J7</f>
        <v>#DIV/0!</v>
      </c>
    </row>
    <row r="8" spans="1:30" s="1613" customFormat="1" ht="15.75" thickBot="1">
      <c r="A8" s="1601" t="s">
        <v>2020</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72" t="s">
        <v>2022</v>
      </c>
      <c r="Q8" s="3573"/>
      <c r="R8" s="1609" t="s">
        <v>25</v>
      </c>
      <c r="S8" s="1610">
        <f t="shared" si="0"/>
        <v>0</v>
      </c>
      <c r="T8" s="1609" t="s">
        <v>25</v>
      </c>
      <c r="U8" s="1610">
        <f t="shared" si="1"/>
        <v>0</v>
      </c>
      <c r="V8" s="1609" t="s">
        <v>25</v>
      </c>
      <c r="W8" s="1610">
        <f t="shared" si="2"/>
        <v>0</v>
      </c>
      <c r="X8" s="1611"/>
      <c r="Y8" s="3572" t="s">
        <v>2022</v>
      </c>
      <c r="Z8" s="3573"/>
      <c r="AA8" s="1612" t="e">
        <f t="shared" ref="AA8:AA45" si="3">D8/F8</f>
        <v>#DIV/0!</v>
      </c>
      <c r="AB8" s="1612" t="e">
        <f t="shared" ref="AB8:AB45" si="4">D8/H8</f>
        <v>#DIV/0!</v>
      </c>
      <c r="AC8" s="1612" t="e">
        <f t="shared" ref="AC8:AC45" si="5">D8/J8</f>
        <v>#DIV/0!</v>
      </c>
    </row>
    <row r="9" spans="1:30" s="1613" customFormat="1">
      <c r="A9" s="1564" t="s">
        <v>2023</v>
      </c>
      <c r="B9" s="1616" t="s">
        <v>2024</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69" t="s">
        <v>2025</v>
      </c>
      <c r="Q9" s="1563" t="str">
        <f t="shared" ref="Q9:Q15" si="6">B9</f>
        <v>用途</v>
      </c>
      <c r="R9" s="1609" t="s">
        <v>25</v>
      </c>
      <c r="S9" s="1610">
        <f t="shared" si="0"/>
        <v>100</v>
      </c>
      <c r="T9" s="1609" t="s">
        <v>25</v>
      </c>
      <c r="U9" s="1610">
        <f t="shared" si="1"/>
        <v>100</v>
      </c>
      <c r="V9" s="1609" t="s">
        <v>25</v>
      </c>
      <c r="W9" s="1610">
        <f t="shared" si="2"/>
        <v>100</v>
      </c>
      <c r="X9" s="1611"/>
      <c r="Y9" s="3495" t="s">
        <v>2026</v>
      </c>
      <c r="Z9" s="1622" t="str">
        <f t="shared" ref="Z9:Z15" si="7">Q9</f>
        <v>用途</v>
      </c>
      <c r="AA9" s="1612">
        <f t="shared" si="3"/>
        <v>1</v>
      </c>
      <c r="AB9" s="1612">
        <f t="shared" si="4"/>
        <v>1</v>
      </c>
      <c r="AC9" s="1612">
        <f t="shared" si="5"/>
        <v>1</v>
      </c>
    </row>
    <row r="10" spans="1:30" s="1630" customFormat="1" ht="27">
      <c r="A10" s="1623"/>
      <c r="B10" s="1624" t="s">
        <v>2027</v>
      </c>
      <c r="C10" s="1636"/>
      <c r="D10" s="1626">
        <v>100</v>
      </c>
      <c r="E10" s="1688"/>
      <c r="F10" s="1626">
        <f>ROUND(100/'数据-取费表'!B14,0)</f>
        <v>119</v>
      </c>
      <c r="G10" s="1686"/>
      <c r="H10" s="1626">
        <f>ROUND(100/'数据-取费表'!B14,0)</f>
        <v>119</v>
      </c>
      <c r="I10" s="1686"/>
      <c r="J10" s="1626">
        <f>ROUND(100/'数据-取费表'!B14,0)</f>
        <v>119</v>
      </c>
      <c r="K10" s="1898"/>
      <c r="L10" s="2917"/>
      <c r="M10" s="2918"/>
      <c r="N10" s="2918"/>
      <c r="O10" s="2963"/>
      <c r="P10" s="3569"/>
      <c r="Q10" s="1563" t="str">
        <f t="shared" si="6"/>
        <v>土地使用年限（年）</v>
      </c>
      <c r="R10" s="1609" t="s">
        <v>25</v>
      </c>
      <c r="S10" s="1610">
        <f t="shared" si="0"/>
        <v>119</v>
      </c>
      <c r="T10" s="1609" t="s">
        <v>25</v>
      </c>
      <c r="U10" s="1610">
        <f t="shared" si="1"/>
        <v>119</v>
      </c>
      <c r="V10" s="1609" t="s">
        <v>25</v>
      </c>
      <c r="W10" s="1610">
        <f t="shared" si="2"/>
        <v>119</v>
      </c>
      <c r="X10" s="1611"/>
      <c r="Y10" s="3495"/>
      <c r="Z10" s="1622" t="str">
        <f t="shared" si="7"/>
        <v>土地使用年限（年）</v>
      </c>
      <c r="AA10" s="1612">
        <f t="shared" si="3"/>
        <v>0.84033613445378152</v>
      </c>
      <c r="AB10" s="1612">
        <f t="shared" si="4"/>
        <v>0.84033613445378152</v>
      </c>
      <c r="AC10" s="1612">
        <f t="shared" si="5"/>
        <v>0.84033613445378152</v>
      </c>
    </row>
    <row r="11" spans="1:30" ht="15">
      <c r="A11" s="1631"/>
      <c r="B11" s="1624" t="s">
        <v>2028</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69"/>
      <c r="Q11" s="1563" t="str">
        <f t="shared" si="6"/>
        <v>容积率</v>
      </c>
      <c r="R11" s="1609" t="s">
        <v>25</v>
      </c>
      <c r="S11" s="1610" t="e">
        <f t="shared" si="0"/>
        <v>#N/A</v>
      </c>
      <c r="T11" s="1609" t="s">
        <v>25</v>
      </c>
      <c r="U11" s="1610" t="e">
        <f t="shared" si="1"/>
        <v>#N/A</v>
      </c>
      <c r="V11" s="1609" t="s">
        <v>25</v>
      </c>
      <c r="W11" s="1610" t="e">
        <f t="shared" si="2"/>
        <v>#N/A</v>
      </c>
      <c r="X11" s="1611"/>
      <c r="Y11" s="3495"/>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69"/>
      <c r="Q12" s="1563" t="str">
        <f t="shared" si="6"/>
        <v>配建</v>
      </c>
      <c r="R12" s="1609" t="s">
        <v>25</v>
      </c>
      <c r="S12" s="1610">
        <f t="shared" si="0"/>
        <v>100</v>
      </c>
      <c r="T12" s="1609" t="s">
        <v>25</v>
      </c>
      <c r="U12" s="1610">
        <f t="shared" si="1"/>
        <v>100</v>
      </c>
      <c r="V12" s="1609" t="s">
        <v>25</v>
      </c>
      <c r="W12" s="1610">
        <f t="shared" si="2"/>
        <v>100</v>
      </c>
      <c r="X12" s="1611"/>
      <c r="Y12" s="3495"/>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69"/>
      <c r="Q13" s="1563">
        <f t="shared" si="6"/>
        <v>111</v>
      </c>
      <c r="R13" s="1609" t="s">
        <v>25</v>
      </c>
      <c r="S13" s="1610">
        <f t="shared" si="0"/>
        <v>100</v>
      </c>
      <c r="T13" s="1609" t="s">
        <v>25</v>
      </c>
      <c r="U13" s="1610">
        <f t="shared" si="1"/>
        <v>100</v>
      </c>
      <c r="V13" s="1609" t="s">
        <v>25</v>
      </c>
      <c r="W13" s="1610">
        <f t="shared" si="2"/>
        <v>100</v>
      </c>
      <c r="X13" s="1611"/>
      <c r="Y13" s="3495"/>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69"/>
      <c r="Q14" s="1563">
        <f t="shared" si="6"/>
        <v>111</v>
      </c>
      <c r="R14" s="1609" t="s">
        <v>25</v>
      </c>
      <c r="S14" s="1610">
        <f t="shared" si="0"/>
        <v>100</v>
      </c>
      <c r="T14" s="1609" t="s">
        <v>25</v>
      </c>
      <c r="U14" s="1610">
        <f t="shared" si="1"/>
        <v>100</v>
      </c>
      <c r="V14" s="1609" t="s">
        <v>25</v>
      </c>
      <c r="W14" s="1610">
        <f t="shared" si="2"/>
        <v>100</v>
      </c>
      <c r="X14" s="1611"/>
      <c r="Y14" s="3495"/>
      <c r="Z14" s="1622">
        <f t="shared" si="7"/>
        <v>111</v>
      </c>
      <c r="AA14" s="1612">
        <f>D14/F14</f>
        <v>1</v>
      </c>
      <c r="AB14" s="1612">
        <f>D14/H14</f>
        <v>1</v>
      </c>
      <c r="AC14" s="1612">
        <f>D14/J14</f>
        <v>1</v>
      </c>
    </row>
    <row r="15" spans="1:30" ht="99.75">
      <c r="A15" s="1591" t="s">
        <v>2029</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7" t="s">
        <v>2030</v>
      </c>
      <c r="Q15" s="1544" t="str">
        <f t="shared" si="6"/>
        <v>居住社区成熟度</v>
      </c>
      <c r="R15" s="1654" t="s">
        <v>25</v>
      </c>
      <c r="S15" s="1655">
        <f t="shared" si="0"/>
        <v>100</v>
      </c>
      <c r="T15" s="1654" t="s">
        <v>25</v>
      </c>
      <c r="U15" s="1655">
        <f t="shared" si="1"/>
        <v>100</v>
      </c>
      <c r="V15" s="1654" t="s">
        <v>25</v>
      </c>
      <c r="W15" s="1655">
        <f t="shared" si="2"/>
        <v>100</v>
      </c>
      <c r="X15" s="1594"/>
      <c r="Y15" s="3597" t="s">
        <v>2030</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8"/>
      <c r="Q16" s="1544"/>
      <c r="R16" s="1654"/>
      <c r="S16" s="1655"/>
      <c r="T16" s="1654"/>
      <c r="U16" s="1655"/>
      <c r="V16" s="1654"/>
      <c r="W16" s="1655"/>
      <c r="X16" s="1594"/>
      <c r="Y16" s="3598"/>
      <c r="Z16" s="1656"/>
      <c r="AA16" s="1657">
        <v>1</v>
      </c>
      <c r="AB16" s="1657">
        <v>1</v>
      </c>
      <c r="AC16" s="1657">
        <v>1</v>
      </c>
    </row>
    <row r="17" spans="1:29" ht="71.25">
      <c r="A17" s="1596"/>
      <c r="B17" s="1905" t="s">
        <v>2115</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8"/>
      <c r="Q17" s="1544" t="str">
        <f>B17</f>
        <v>商业繁华度</v>
      </c>
      <c r="R17" s="1654" t="s">
        <v>25</v>
      </c>
      <c r="S17" s="1655">
        <f>F17</f>
        <v>100</v>
      </c>
      <c r="T17" s="1654" t="s">
        <v>25</v>
      </c>
      <c r="U17" s="1655">
        <f>H17</f>
        <v>100</v>
      </c>
      <c r="V17" s="1654" t="s">
        <v>25</v>
      </c>
      <c r="W17" s="1655">
        <f>J17</f>
        <v>100</v>
      </c>
      <c r="X17" s="1594"/>
      <c r="Y17" s="3598"/>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8"/>
      <c r="Q18" s="1544"/>
      <c r="R18" s="1654"/>
      <c r="S18" s="1655"/>
      <c r="T18" s="1654"/>
      <c r="U18" s="1655"/>
      <c r="V18" s="1654"/>
      <c r="W18" s="1655"/>
      <c r="X18" s="1594"/>
      <c r="Y18" s="3598"/>
      <c r="Z18" s="1656"/>
      <c r="AA18" s="1657">
        <v>1</v>
      </c>
      <c r="AB18" s="1657">
        <v>1</v>
      </c>
      <c r="AC18" s="1657">
        <v>1</v>
      </c>
    </row>
    <row r="19" spans="1:29" ht="71.25">
      <c r="A19" s="1596"/>
      <c r="B19" s="1905" t="s">
        <v>2144</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8"/>
      <c r="Q19" s="1544" t="str">
        <f>B19</f>
        <v>办公集聚程度</v>
      </c>
      <c r="R19" s="1654" t="s">
        <v>25</v>
      </c>
      <c r="S19" s="1655">
        <f>F19</f>
        <v>100</v>
      </c>
      <c r="T19" s="1654" t="s">
        <v>25</v>
      </c>
      <c r="U19" s="1655">
        <f>H19</f>
        <v>100</v>
      </c>
      <c r="V19" s="1654" t="s">
        <v>25</v>
      </c>
      <c r="W19" s="1655">
        <f>J19</f>
        <v>100</v>
      </c>
      <c r="X19" s="1594"/>
      <c r="Y19" s="3598"/>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8"/>
      <c r="Q20" s="1544"/>
      <c r="R20" s="1654"/>
      <c r="S20" s="1655"/>
      <c r="T20" s="1654"/>
      <c r="U20" s="1655"/>
      <c r="V20" s="1654"/>
      <c r="W20" s="1655"/>
      <c r="X20" s="1594"/>
      <c r="Y20" s="3598"/>
      <c r="Z20" s="1656"/>
      <c r="AA20" s="1657">
        <v>1</v>
      </c>
      <c r="AB20" s="1657">
        <v>1</v>
      </c>
      <c r="AC20" s="1657">
        <v>1</v>
      </c>
    </row>
    <row r="21" spans="1:29" ht="85.5">
      <c r="A21" s="1596"/>
      <c r="B21" s="1905" t="s">
        <v>2167</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8"/>
      <c r="Q21" s="1544" t="str">
        <f>B21</f>
        <v>交通便捷度</v>
      </c>
      <c r="R21" s="1654" t="s">
        <v>25</v>
      </c>
      <c r="S21" s="1655">
        <f>F21</f>
        <v>100</v>
      </c>
      <c r="T21" s="1654" t="s">
        <v>25</v>
      </c>
      <c r="U21" s="1655">
        <f>H21</f>
        <v>100</v>
      </c>
      <c r="V21" s="1654" t="s">
        <v>25</v>
      </c>
      <c r="W21" s="1655">
        <f>J21</f>
        <v>100</v>
      </c>
      <c r="X21" s="1594"/>
      <c r="Y21" s="3598"/>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8"/>
      <c r="Q22" s="1544"/>
      <c r="R22" s="1654"/>
      <c r="S22" s="1655"/>
      <c r="T22" s="1654"/>
      <c r="U22" s="1655"/>
      <c r="V22" s="1654"/>
      <c r="W22" s="1655"/>
      <c r="X22" s="1594"/>
      <c r="Y22" s="3598"/>
      <c r="Z22" s="1656"/>
      <c r="AA22" s="1657">
        <v>1</v>
      </c>
      <c r="AB22" s="1657">
        <v>1</v>
      </c>
      <c r="AC22" s="1657">
        <v>1</v>
      </c>
    </row>
    <row r="23" spans="1:29" ht="15">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8"/>
      <c r="Q23" s="1544" t="str">
        <f t="shared" ref="Q23:Q37" si="8">B23</f>
        <v>区域土地利用方向</v>
      </c>
      <c r="R23" s="1654" t="s">
        <v>25</v>
      </c>
      <c r="S23" s="1655">
        <f>F23</f>
        <v>100</v>
      </c>
      <c r="T23" s="1654" t="s">
        <v>25</v>
      </c>
      <c r="U23" s="1655">
        <f>H23</f>
        <v>100</v>
      </c>
      <c r="V23" s="1654" t="s">
        <v>25</v>
      </c>
      <c r="W23" s="1655">
        <f>J23</f>
        <v>100</v>
      </c>
      <c r="X23" s="1594"/>
      <c r="Y23" s="3598"/>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8"/>
      <c r="Q24" s="1544"/>
      <c r="R24" s="1654"/>
      <c r="S24" s="1655"/>
      <c r="T24" s="1654"/>
      <c r="U24" s="1655"/>
      <c r="V24" s="1654"/>
      <c r="W24" s="1655"/>
      <c r="X24" s="1594"/>
      <c r="Y24" s="3598"/>
      <c r="Z24" s="1656"/>
      <c r="AA24" s="1657"/>
      <c r="AB24" s="1657"/>
      <c r="AC24" s="1657"/>
    </row>
    <row r="25" spans="1:29" ht="57">
      <c r="A25" s="1596"/>
      <c r="B25" s="1910" t="s">
        <v>2208</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8"/>
      <c r="Q25" s="1544" t="str">
        <f t="shared" si="8"/>
        <v>自然及人文环境状况</v>
      </c>
      <c r="R25" s="1654" t="s">
        <v>25</v>
      </c>
      <c r="S25" s="1655">
        <f>F25</f>
        <v>100</v>
      </c>
      <c r="T25" s="1654" t="s">
        <v>25</v>
      </c>
      <c r="U25" s="1655">
        <f>H25</f>
        <v>100</v>
      </c>
      <c r="V25" s="1654" t="s">
        <v>25</v>
      </c>
      <c r="W25" s="1655">
        <f>J25</f>
        <v>100</v>
      </c>
      <c r="X25" s="1594"/>
      <c r="Y25" s="3598"/>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8"/>
      <c r="Q26" s="1544"/>
      <c r="R26" s="1654"/>
      <c r="S26" s="1655"/>
      <c r="T26" s="1654"/>
      <c r="U26" s="1655"/>
      <c r="V26" s="1654"/>
      <c r="W26" s="1655"/>
      <c r="X26" s="1594"/>
      <c r="Y26" s="3598"/>
      <c r="Z26" s="1656"/>
      <c r="AA26" s="1657">
        <v>1</v>
      </c>
      <c r="AB26" s="1657">
        <v>1</v>
      </c>
      <c r="AC26" s="1657">
        <v>1</v>
      </c>
    </row>
    <row r="27" spans="1:29" ht="42.75">
      <c r="A27" s="1596"/>
      <c r="B27" s="1910" t="s">
        <v>2116</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8"/>
      <c r="Q27" s="1563" t="str">
        <f t="shared" ref="Q27" si="9">B27</f>
        <v>公共配套设施</v>
      </c>
      <c r="R27" s="1609" t="s">
        <v>25</v>
      </c>
      <c r="S27" s="1610">
        <f>F27</f>
        <v>100</v>
      </c>
      <c r="T27" s="1609" t="s">
        <v>25</v>
      </c>
      <c r="U27" s="1610">
        <f>H27</f>
        <v>100</v>
      </c>
      <c r="V27" s="1609" t="s">
        <v>25</v>
      </c>
      <c r="W27" s="1610">
        <f>J27</f>
        <v>100</v>
      </c>
      <c r="X27" s="1594"/>
      <c r="Y27" s="3598"/>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8"/>
      <c r="Q28" s="1544"/>
      <c r="R28" s="1654"/>
      <c r="S28" s="1655"/>
      <c r="T28" s="1654"/>
      <c r="U28" s="1655"/>
      <c r="V28" s="1654"/>
      <c r="W28" s="1655"/>
      <c r="X28" s="1594"/>
      <c r="Y28" s="3598"/>
      <c r="Z28" s="1622"/>
      <c r="AA28" s="1657">
        <v>1</v>
      </c>
      <c r="AB28" s="1657">
        <v>1</v>
      </c>
      <c r="AC28" s="1657">
        <v>1</v>
      </c>
    </row>
    <row r="29" spans="1:29" s="1613" customFormat="1" ht="28.5">
      <c r="A29" s="1916"/>
      <c r="B29" s="1910" t="s">
        <v>2117</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8"/>
      <c r="Q29" s="1563" t="str">
        <f t="shared" si="8"/>
        <v>基础设施水平</v>
      </c>
      <c r="R29" s="1609" t="s">
        <v>25</v>
      </c>
      <c r="S29" s="1610">
        <f>F29</f>
        <v>100</v>
      </c>
      <c r="T29" s="1609" t="s">
        <v>25</v>
      </c>
      <c r="U29" s="1610">
        <f>H29</f>
        <v>100</v>
      </c>
      <c r="V29" s="1609" t="s">
        <v>25</v>
      </c>
      <c r="W29" s="1610">
        <f>J29</f>
        <v>100</v>
      </c>
      <c r="X29" s="1611"/>
      <c r="Y29" s="3598"/>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8"/>
      <c r="Q30" s="1563"/>
      <c r="R30" s="1609"/>
      <c r="S30" s="1610"/>
      <c r="T30" s="1609"/>
      <c r="U30" s="1610"/>
      <c r="V30" s="1609"/>
      <c r="W30" s="1610"/>
      <c r="X30" s="1611"/>
      <c r="Y30" s="3598"/>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8"/>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8"/>
      <c r="Z31" s="1656" t="str">
        <f t="shared" ref="Z31:Z45" si="13">Q31</f>
        <v>临街状况</v>
      </c>
      <c r="AA31" s="1657">
        <f t="shared" si="3"/>
        <v>1</v>
      </c>
      <c r="AB31" s="1657">
        <f t="shared" si="4"/>
        <v>1</v>
      </c>
      <c r="AC31" s="1657">
        <f t="shared" si="5"/>
        <v>1</v>
      </c>
    </row>
    <row r="32" spans="1:29" ht="27">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8"/>
      <c r="Q32" s="1544" t="str">
        <f t="shared" si="8"/>
        <v>毗邻道路的类型与等级</v>
      </c>
      <c r="R32" s="1654" t="s">
        <v>25</v>
      </c>
      <c r="S32" s="1655">
        <f t="shared" si="10"/>
        <v>100</v>
      </c>
      <c r="T32" s="1654" t="s">
        <v>25</v>
      </c>
      <c r="U32" s="1655">
        <f t="shared" si="11"/>
        <v>100</v>
      </c>
      <c r="V32" s="1654" t="s">
        <v>25</v>
      </c>
      <c r="W32" s="1655">
        <f t="shared" si="12"/>
        <v>100</v>
      </c>
      <c r="X32" s="1594"/>
      <c r="Y32" s="3598"/>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8"/>
      <c r="Q33" s="1544"/>
      <c r="R33" s="1654"/>
      <c r="S33" s="1655"/>
      <c r="T33" s="1654"/>
      <c r="U33" s="1655"/>
      <c r="V33" s="1654"/>
      <c r="W33" s="1655"/>
      <c r="X33" s="1594"/>
      <c r="Y33" s="3598"/>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8"/>
      <c r="Q34" s="1544" t="str">
        <f t="shared" si="8"/>
        <v>土地级别</v>
      </c>
      <c r="R34" s="1654" t="s">
        <v>25</v>
      </c>
      <c r="S34" s="1655">
        <f t="shared" si="10"/>
        <v>100</v>
      </c>
      <c r="T34" s="1654" t="s">
        <v>25</v>
      </c>
      <c r="U34" s="1655">
        <f t="shared" si="11"/>
        <v>100</v>
      </c>
      <c r="V34" s="1654" t="s">
        <v>25</v>
      </c>
      <c r="W34" s="1655">
        <f t="shared" si="12"/>
        <v>100</v>
      </c>
      <c r="X34" s="1594"/>
      <c r="Y34" s="3598"/>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8"/>
      <c r="Q35" s="1544">
        <f t="shared" si="8"/>
        <v>111</v>
      </c>
      <c r="R35" s="1654" t="s">
        <v>25</v>
      </c>
      <c r="S35" s="1655">
        <f t="shared" si="10"/>
        <v>100</v>
      </c>
      <c r="T35" s="1654" t="s">
        <v>25</v>
      </c>
      <c r="U35" s="1655">
        <f t="shared" si="11"/>
        <v>100</v>
      </c>
      <c r="V35" s="1654" t="s">
        <v>25</v>
      </c>
      <c r="W35" s="1655">
        <f t="shared" si="12"/>
        <v>100</v>
      </c>
      <c r="X35" s="1594"/>
      <c r="Y35" s="3598"/>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599" t="s">
        <v>2036</v>
      </c>
      <c r="Q36" s="1544">
        <f t="shared" si="8"/>
        <v>111</v>
      </c>
      <c r="R36" s="1654" t="s">
        <v>25</v>
      </c>
      <c r="S36" s="1655">
        <f t="shared" si="10"/>
        <v>100</v>
      </c>
      <c r="T36" s="1654" t="s">
        <v>25</v>
      </c>
      <c r="U36" s="1655">
        <f t="shared" si="11"/>
        <v>100</v>
      </c>
      <c r="V36" s="1654" t="s">
        <v>25</v>
      </c>
      <c r="W36" s="1655">
        <f t="shared" si="12"/>
        <v>100</v>
      </c>
      <c r="X36" s="1594"/>
      <c r="Y36" s="3600" t="s">
        <v>2036</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00"/>
      <c r="Q37" s="1544">
        <f t="shared" si="8"/>
        <v>111</v>
      </c>
      <c r="R37" s="1696" t="s">
        <v>25</v>
      </c>
      <c r="S37" s="1697">
        <f t="shared" si="10"/>
        <v>100</v>
      </c>
      <c r="T37" s="1696" t="s">
        <v>25</v>
      </c>
      <c r="U37" s="1697">
        <f t="shared" si="11"/>
        <v>100</v>
      </c>
      <c r="V37" s="1696" t="s">
        <v>25</v>
      </c>
      <c r="W37" s="1697">
        <f t="shared" si="12"/>
        <v>100</v>
      </c>
      <c r="X37" s="1698"/>
      <c r="Y37" s="3600"/>
      <c r="Z37" s="1699">
        <f t="shared" si="13"/>
        <v>111</v>
      </c>
      <c r="AA37" s="1657">
        <f t="shared" si="3"/>
        <v>1</v>
      </c>
      <c r="AB37" s="1657">
        <f t="shared" si="4"/>
        <v>1</v>
      </c>
      <c r="AC37" s="1657">
        <f t="shared" si="5"/>
        <v>1</v>
      </c>
    </row>
    <row r="38" spans="1:29" ht="15">
      <c r="A38" s="1591" t="s">
        <v>2034</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00"/>
      <c r="Q38" s="1544" t="str">
        <f>B38</f>
        <v>宗地面积</v>
      </c>
      <c r="R38" s="1654" t="s">
        <v>25</v>
      </c>
      <c r="S38" s="1655" t="e">
        <f t="shared" si="10"/>
        <v>#N/A</v>
      </c>
      <c r="T38" s="1654" t="s">
        <v>25</v>
      </c>
      <c r="U38" s="1655" t="e">
        <f t="shared" si="11"/>
        <v>#N/A</v>
      </c>
      <c r="V38" s="1654" t="s">
        <v>25</v>
      </c>
      <c r="W38" s="1655" t="e">
        <f t="shared" si="12"/>
        <v>#N/A</v>
      </c>
      <c r="X38" s="1594"/>
      <c r="Y38" s="3600"/>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00"/>
      <c r="Q39" s="1544" t="str">
        <f t="shared" ref="Q39:Q45" si="14">B39</f>
        <v>宗地形状</v>
      </c>
      <c r="R39" s="1654" t="s">
        <v>25</v>
      </c>
      <c r="S39" s="1655">
        <f t="shared" si="10"/>
        <v>100</v>
      </c>
      <c r="T39" s="1654" t="s">
        <v>25</v>
      </c>
      <c r="U39" s="1655">
        <f t="shared" si="11"/>
        <v>100</v>
      </c>
      <c r="V39" s="1654" t="s">
        <v>25</v>
      </c>
      <c r="W39" s="1655">
        <f t="shared" si="12"/>
        <v>100</v>
      </c>
      <c r="X39" s="1594"/>
      <c r="Y39" s="3600"/>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00"/>
      <c r="Q40" s="1544" t="str">
        <f t="shared" si="14"/>
        <v>临街宽度及深度</v>
      </c>
      <c r="R40" s="1654" t="s">
        <v>25</v>
      </c>
      <c r="S40" s="1655">
        <f t="shared" si="10"/>
        <v>100</v>
      </c>
      <c r="T40" s="1654" t="s">
        <v>25</v>
      </c>
      <c r="U40" s="1655">
        <f t="shared" si="11"/>
        <v>100</v>
      </c>
      <c r="V40" s="1654" t="s">
        <v>25</v>
      </c>
      <c r="W40" s="1655">
        <f t="shared" si="12"/>
        <v>100</v>
      </c>
      <c r="X40" s="1594"/>
      <c r="Y40" s="3600"/>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00"/>
      <c r="Q41" s="1544" t="str">
        <f t="shared" si="14"/>
        <v>宗地开发程度</v>
      </c>
      <c r="R41" s="1609" t="s">
        <v>25</v>
      </c>
      <c r="S41" s="1610">
        <f t="shared" si="10"/>
        <v>100</v>
      </c>
      <c r="T41" s="1609" t="s">
        <v>25</v>
      </c>
      <c r="U41" s="1610">
        <f t="shared" si="11"/>
        <v>100</v>
      </c>
      <c r="V41" s="1609" t="s">
        <v>25</v>
      </c>
      <c r="W41" s="1610">
        <f t="shared" si="12"/>
        <v>100</v>
      </c>
      <c r="X41" s="1611"/>
      <c r="Y41" s="3600"/>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00" t="s">
        <v>2036</v>
      </c>
      <c r="Q42" s="1544" t="str">
        <f t="shared" si="14"/>
        <v>工程地质条件</v>
      </c>
      <c r="R42" s="1654" t="s">
        <v>25</v>
      </c>
      <c r="S42" s="1655">
        <f t="shared" si="10"/>
        <v>100</v>
      </c>
      <c r="T42" s="1654" t="s">
        <v>25</v>
      </c>
      <c r="U42" s="1655">
        <f t="shared" si="11"/>
        <v>100</v>
      </c>
      <c r="V42" s="1654" t="s">
        <v>25</v>
      </c>
      <c r="W42" s="1655">
        <f t="shared" si="12"/>
        <v>100</v>
      </c>
      <c r="X42" s="1594"/>
      <c r="Y42" s="3600" t="s">
        <v>2036</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00"/>
      <c r="Q43" s="1544">
        <f t="shared" si="14"/>
        <v>111</v>
      </c>
      <c r="R43" s="1654" t="s">
        <v>25</v>
      </c>
      <c r="S43" s="1655">
        <f t="shared" si="10"/>
        <v>100</v>
      </c>
      <c r="T43" s="1654" t="s">
        <v>25</v>
      </c>
      <c r="U43" s="1655">
        <f t="shared" si="11"/>
        <v>100</v>
      </c>
      <c r="V43" s="1654" t="s">
        <v>25</v>
      </c>
      <c r="W43" s="1655">
        <f t="shared" si="12"/>
        <v>100</v>
      </c>
      <c r="X43" s="1594"/>
      <c r="Y43" s="3600"/>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00"/>
      <c r="Q44" s="1544">
        <f t="shared" si="14"/>
        <v>111</v>
      </c>
      <c r="R44" s="1654" t="s">
        <v>25</v>
      </c>
      <c r="S44" s="1655">
        <f t="shared" si="10"/>
        <v>100</v>
      </c>
      <c r="T44" s="1654" t="s">
        <v>25</v>
      </c>
      <c r="U44" s="1655">
        <f t="shared" si="11"/>
        <v>100</v>
      </c>
      <c r="V44" s="1654" t="s">
        <v>25</v>
      </c>
      <c r="W44" s="1655">
        <f t="shared" si="12"/>
        <v>100</v>
      </c>
      <c r="X44" s="1594"/>
      <c r="Y44" s="3600"/>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00"/>
      <c r="Q45" s="1544">
        <f t="shared" si="14"/>
        <v>111</v>
      </c>
      <c r="R45" s="1696" t="s">
        <v>25</v>
      </c>
      <c r="S45" s="1697">
        <f t="shared" si="10"/>
        <v>100</v>
      </c>
      <c r="T45" s="1696" t="s">
        <v>25</v>
      </c>
      <c r="U45" s="1697">
        <f t="shared" si="11"/>
        <v>100</v>
      </c>
      <c r="V45" s="1696" t="s">
        <v>25</v>
      </c>
      <c r="W45" s="1697">
        <f t="shared" si="12"/>
        <v>100</v>
      </c>
      <c r="X45" s="1698"/>
      <c r="Y45" s="3600"/>
      <c r="Z45" s="1699">
        <f t="shared" si="13"/>
        <v>111</v>
      </c>
      <c r="AA45" s="1657">
        <f t="shared" si="3"/>
        <v>1</v>
      </c>
      <c r="AB45" s="1657">
        <f t="shared" si="4"/>
        <v>1</v>
      </c>
      <c r="AC45" s="1657">
        <f t="shared" si="5"/>
        <v>1</v>
      </c>
    </row>
    <row r="46" spans="1:29" ht="15">
      <c r="A46" s="1710" t="s">
        <v>2178</v>
      </c>
      <c r="B46" s="1935" t="s">
        <v>2215</v>
      </c>
      <c r="C46" s="1936" t="s">
        <v>1</v>
      </c>
      <c r="D46" s="1937"/>
      <c r="E46" s="1938"/>
      <c r="F46" s="1939"/>
      <c r="G46" s="1940"/>
      <c r="H46" s="1941"/>
      <c r="I46" s="1938"/>
      <c r="J46" s="1941"/>
      <c r="K46" s="1942"/>
      <c r="L46" s="2921"/>
      <c r="N46" s="2916"/>
      <c r="P46" s="3569" t="str">
        <f>A46</f>
        <v>成交单价</v>
      </c>
      <c r="Q46" s="3569"/>
      <c r="R46" s="3593">
        <f>E46</f>
        <v>0</v>
      </c>
      <c r="S46" s="3593"/>
      <c r="T46" s="3593">
        <f>G46</f>
        <v>0</v>
      </c>
      <c r="U46" s="3593"/>
      <c r="V46" s="3593">
        <f>I46</f>
        <v>0</v>
      </c>
      <c r="W46" s="3593"/>
      <c r="X46" s="1720"/>
      <c r="Y46" s="1721"/>
      <c r="Z46" s="1720"/>
      <c r="AA46" s="1720"/>
      <c r="AB46" s="1720"/>
      <c r="AC46" s="1720"/>
    </row>
    <row r="47" spans="1:29" ht="15.75" thickBot="1">
      <c r="A47" s="1722" t="s">
        <v>2131</v>
      </c>
      <c r="B47" s="1943"/>
      <c r="C47" s="1944" t="e">
        <f>R48</f>
        <v>#DIV/0!</v>
      </c>
      <c r="D47" s="1725" t="s">
        <v>2502</v>
      </c>
      <c r="E47" s="1944" t="e">
        <f>R47</f>
        <v>#DIV/0!</v>
      </c>
      <c r="F47" s="1727"/>
      <c r="G47" s="1945" t="e">
        <f>T47</f>
        <v>#DIV/0!</v>
      </c>
      <c r="H47" s="1727"/>
      <c r="I47" s="1944" t="e">
        <f>V47</f>
        <v>#DIV/0!</v>
      </c>
      <c r="J47" s="1727"/>
      <c r="K47" s="2429">
        <f>F47+H47+J47</f>
        <v>0</v>
      </c>
      <c r="L47" s="2921"/>
      <c r="P47" s="3569" t="str">
        <f>A47</f>
        <v>比较价值（元/平方米）</v>
      </c>
      <c r="Q47" s="3569"/>
      <c r="R47" s="3683" t="e">
        <f>ROUND(PRODUCT(R46,AA7:AA45),0)</f>
        <v>#DIV/0!</v>
      </c>
      <c r="S47" s="3683"/>
      <c r="T47" s="3683" t="e">
        <f>ROUND(PRODUCT(T46,AB7:AB45),0)</f>
        <v>#DIV/0!</v>
      </c>
      <c r="U47" s="3683"/>
      <c r="V47" s="3683" t="e">
        <f>ROUND(PRODUCT(V46,AC7:AC45),0)</f>
        <v>#DIV/0!</v>
      </c>
      <c r="W47" s="3683"/>
      <c r="X47" s="1720"/>
      <c r="Y47" s="1720"/>
      <c r="Z47" s="1720"/>
      <c r="AA47" s="1720"/>
      <c r="AB47" s="1720"/>
      <c r="AC47" s="1720"/>
    </row>
    <row r="48" spans="1:29" ht="15.75" thickBot="1">
      <c r="A48" s="1728" t="s">
        <v>2154</v>
      </c>
      <c r="B48" s="1729"/>
      <c r="C48" s="1946" t="e">
        <f>R48</f>
        <v>#DIV/0!</v>
      </c>
      <c r="D48" s="1946"/>
      <c r="E48" s="1946"/>
      <c r="F48" s="1946"/>
      <c r="G48" s="1946"/>
      <c r="H48" s="1946"/>
      <c r="I48" s="1946"/>
      <c r="J48" s="1946"/>
      <c r="K48" s="1947"/>
      <c r="L48" s="2921"/>
      <c r="P48" s="3603" t="str">
        <f>A48</f>
        <v>估价对象XX用房的比较价值（楼面单价，元/平方米）</v>
      </c>
      <c r="Q48" s="3604"/>
      <c r="R48" s="3684" t="e">
        <f>ROUND(IF(D47="简单平均",AVERAGE(R47:W47),R47*F47+T47*H47+V47*J47),0)</f>
        <v>#DIV/0!</v>
      </c>
      <c r="S48" s="3684"/>
      <c r="T48" s="3684"/>
      <c r="U48" s="3684"/>
      <c r="V48" s="3684"/>
      <c r="W48" s="3684"/>
      <c r="X48" s="1720"/>
      <c r="Y48" s="1720"/>
      <c r="Z48" s="1720"/>
      <c r="AA48" s="1720"/>
      <c r="AB48" s="1720"/>
      <c r="AC48" s="1720"/>
    </row>
    <row r="49" spans="1:14">
      <c r="G49" s="2925"/>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2216</v>
      </c>
      <c r="B55" s="1948" t="s">
        <v>2217</v>
      </c>
      <c r="C55" s="1949" t="s">
        <v>2218</v>
      </c>
      <c r="D55" s="1950" t="s">
        <v>2219</v>
      </c>
      <c r="E55" s="1951" t="s">
        <v>2220</v>
      </c>
      <c r="F55" s="1952" t="s">
        <v>2221</v>
      </c>
      <c r="G55" s="1847" t="s">
        <v>2222</v>
      </c>
      <c r="H55" s="1847" t="str">
        <f>项目基本情况!G8</f>
        <v>XX</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2225</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2227</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2228</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2229</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2230</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2231</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2232</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2233</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2022-4-1</v>
      </c>
      <c r="D67" s="1969">
        <f>EDATE(C67,-3)</f>
        <v>44562</v>
      </c>
      <c r="E67" s="1969">
        <f t="shared" ref="E67:O67" si="18">EDATE(D67,-3)</f>
        <v>44470</v>
      </c>
      <c r="F67" s="1969">
        <f t="shared" si="18"/>
        <v>44378</v>
      </c>
      <c r="G67" s="1969">
        <f t="shared" si="18"/>
        <v>44287</v>
      </c>
      <c r="H67" s="1969">
        <f t="shared" si="18"/>
        <v>44197</v>
      </c>
      <c r="I67" s="1969">
        <f t="shared" si="18"/>
        <v>44105</v>
      </c>
      <c r="J67" s="1969">
        <f t="shared" si="18"/>
        <v>44013</v>
      </c>
      <c r="K67" s="1969">
        <f t="shared" si="18"/>
        <v>43922</v>
      </c>
      <c r="L67" s="1969">
        <f t="shared" si="18"/>
        <v>43831</v>
      </c>
      <c r="M67" s="1969">
        <f t="shared" si="18"/>
        <v>43739</v>
      </c>
      <c r="N67" s="1969">
        <f t="shared" si="18"/>
        <v>43647</v>
      </c>
      <c r="O67" s="1969">
        <f t="shared" si="18"/>
        <v>43556</v>
      </c>
    </row>
    <row r="68" spans="1:17" ht="21.75"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5">
      <c r="A69" s="1975" t="s">
        <v>2234</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2235</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7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5">
      <c r="A72" s="1768" t="s">
        <v>2020</v>
      </c>
      <c r="B72" s="1758"/>
      <c r="C72" s="1769" t="s">
        <v>2021</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2059</v>
      </c>
      <c r="B74" s="1776" t="s">
        <v>2024</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2027</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2028</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2029</v>
      </c>
      <c r="B87" s="1776" t="s">
        <v>2067</v>
      </c>
      <c r="C87" s="1814" t="s">
        <v>2068</v>
      </c>
      <c r="D87" s="1814" t="s">
        <v>2069</v>
      </c>
      <c r="E87" s="1814" t="s">
        <v>2070</v>
      </c>
      <c r="F87" s="1814" t="s">
        <v>2071</v>
      </c>
      <c r="G87" s="1814" t="s">
        <v>2072</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2236</v>
      </c>
      <c r="C89" s="579" t="s">
        <v>2068</v>
      </c>
      <c r="D89" s="579" t="s">
        <v>2069</v>
      </c>
      <c r="E89" s="579" t="s">
        <v>2070</v>
      </c>
      <c r="F89" s="579" t="s">
        <v>2071</v>
      </c>
      <c r="G89" s="579" t="s">
        <v>2072</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2155</v>
      </c>
      <c r="C91" s="579" t="s">
        <v>2068</v>
      </c>
      <c r="D91" s="579" t="s">
        <v>2069</v>
      </c>
      <c r="E91" s="579" t="s">
        <v>2070</v>
      </c>
      <c r="F91" s="579" t="s">
        <v>2071</v>
      </c>
      <c r="G91" s="579" t="s">
        <v>2072</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2073</v>
      </c>
      <c r="C93" s="579" t="s">
        <v>2068</v>
      </c>
      <c r="D93" s="579" t="s">
        <v>2069</v>
      </c>
      <c r="E93" s="579" t="s">
        <v>2070</v>
      </c>
      <c r="F93" s="579" t="s">
        <v>2071</v>
      </c>
      <c r="G93" s="579" t="s">
        <v>2072</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2237</v>
      </c>
      <c r="C95" s="579" t="s">
        <v>2068</v>
      </c>
      <c r="D95" s="579" t="s">
        <v>2069</v>
      </c>
      <c r="E95" s="579" t="s">
        <v>2070</v>
      </c>
      <c r="F95" s="579" t="s">
        <v>2071</v>
      </c>
      <c r="G95" s="579" t="s">
        <v>2072</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2238</v>
      </c>
      <c r="C97" s="1814" t="s">
        <v>2068</v>
      </c>
      <c r="D97" s="1814" t="s">
        <v>2069</v>
      </c>
      <c r="E97" s="1814" t="s">
        <v>2070</v>
      </c>
      <c r="F97" s="1814" t="s">
        <v>2071</v>
      </c>
      <c r="G97" s="1814" t="s">
        <v>2072</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2116</v>
      </c>
      <c r="C99" s="1814" t="s">
        <v>2068</v>
      </c>
      <c r="D99" s="1814" t="s">
        <v>2069</v>
      </c>
      <c r="E99" s="1814" t="s">
        <v>2070</v>
      </c>
      <c r="F99" s="1814" t="s">
        <v>2071</v>
      </c>
      <c r="G99" s="1814" t="s">
        <v>2072</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2117</v>
      </c>
      <c r="C101" s="1788" t="s">
        <v>2075</v>
      </c>
      <c r="D101" s="1788" t="s">
        <v>2076</v>
      </c>
      <c r="E101" s="1788" t="s">
        <v>2077</v>
      </c>
      <c r="F101" s="1788" t="s">
        <v>2078</v>
      </c>
      <c r="G101" s="1788" t="s">
        <v>2079</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2148</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2209</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2034</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2244</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2245</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2247</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53" t="s">
        <v>2006</v>
      </c>
      <c r="D4" s="3654"/>
      <c r="E4" s="3655" t="s">
        <v>2007</v>
      </c>
      <c r="F4" s="3656"/>
      <c r="G4" s="3653" t="s">
        <v>2008</v>
      </c>
      <c r="H4" s="3654"/>
      <c r="I4" s="3653" t="s">
        <v>2009</v>
      </c>
      <c r="J4" s="3654"/>
      <c r="K4" s="496" t="s">
        <v>2010</v>
      </c>
      <c r="L4" s="2943"/>
      <c r="M4" s="2944"/>
      <c r="N4" s="2944"/>
      <c r="O4" s="2944"/>
      <c r="P4" s="3657" t="s">
        <v>2011</v>
      </c>
      <c r="Q4" s="3658"/>
      <c r="R4" s="3663" t="s">
        <v>2007</v>
      </c>
      <c r="S4" s="3664"/>
      <c r="T4" s="3663" t="s">
        <v>2008</v>
      </c>
      <c r="U4" s="3664"/>
      <c r="V4" s="3669" t="s">
        <v>2009</v>
      </c>
      <c r="W4" s="3669"/>
      <c r="X4" s="1263"/>
      <c r="Y4" s="3663" t="s">
        <v>2011</v>
      </c>
      <c r="Z4" s="3664"/>
      <c r="AA4" s="3650" t="s">
        <v>2007</v>
      </c>
      <c r="AB4" s="3651" t="s">
        <v>2008</v>
      </c>
      <c r="AC4" s="3650" t="s">
        <v>2009</v>
      </c>
    </row>
    <row r="5" spans="1:29" ht="15">
      <c r="A5" s="297"/>
      <c r="B5" s="298"/>
      <c r="C5" s="3646" t="s">
        <v>2012</v>
      </c>
      <c r="D5" s="3647"/>
      <c r="E5" s="3670" t="s">
        <v>2013</v>
      </c>
      <c r="F5" s="3671"/>
      <c r="G5" s="3646" t="s">
        <v>2014</v>
      </c>
      <c r="H5" s="3647"/>
      <c r="I5" s="3646" t="s">
        <v>2015</v>
      </c>
      <c r="J5" s="3647"/>
      <c r="K5" s="496"/>
      <c r="L5" s="2943"/>
      <c r="M5" s="2944"/>
      <c r="N5" s="2944"/>
      <c r="O5" s="2944"/>
      <c r="P5" s="3659"/>
      <c r="Q5" s="3660"/>
      <c r="R5" s="3665"/>
      <c r="S5" s="3666"/>
      <c r="T5" s="3665"/>
      <c r="U5" s="3666"/>
      <c r="V5" s="3669"/>
      <c r="W5" s="3669"/>
      <c r="X5" s="1263"/>
      <c r="Y5" s="3665"/>
      <c r="Z5" s="3666"/>
      <c r="AA5" s="3651"/>
      <c r="AB5" s="3651"/>
      <c r="AC5" s="3651"/>
    </row>
    <row r="6" spans="1:29" ht="15.75" thickBot="1">
      <c r="A6" s="299"/>
      <c r="B6" s="300"/>
      <c r="C6" s="3643" t="s">
        <v>2016</v>
      </c>
      <c r="D6" s="3644"/>
      <c r="E6" s="3641" t="s">
        <v>2016</v>
      </c>
      <c r="F6" s="3642"/>
      <c r="G6" s="3643" t="s">
        <v>2016</v>
      </c>
      <c r="H6" s="3644"/>
      <c r="I6" s="3643" t="s">
        <v>2016</v>
      </c>
      <c r="J6" s="3644"/>
      <c r="K6" s="496" t="s">
        <v>2017</v>
      </c>
      <c r="L6" s="2943"/>
      <c r="M6" s="2944"/>
      <c r="N6" s="2944"/>
      <c r="O6" s="2944"/>
      <c r="P6" s="3661"/>
      <c r="Q6" s="3662"/>
      <c r="R6" s="3665"/>
      <c r="S6" s="3666"/>
      <c r="T6" s="3667"/>
      <c r="U6" s="3668"/>
      <c r="V6" s="3669"/>
      <c r="W6" s="3669"/>
      <c r="X6" s="1263"/>
      <c r="Y6" s="3667"/>
      <c r="Z6" s="3668"/>
      <c r="AA6" s="3652"/>
      <c r="AB6" s="3652"/>
      <c r="AC6" s="3652"/>
    </row>
    <row r="7" spans="1:29" s="25" customFormat="1" ht="15.75" thickBot="1">
      <c r="A7" s="301" t="s">
        <v>2018</v>
      </c>
      <c r="B7" s="302"/>
      <c r="C7" s="303">
        <f>'数据-取费表'!B2</f>
        <v>44676</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8" t="s">
        <v>2019</v>
      </c>
      <c r="Q7" s="3672"/>
      <c r="R7" s="627" t="s">
        <v>25</v>
      </c>
      <c r="S7" s="628">
        <f t="shared" ref="S7:S15" si="0">F7</f>
        <v>0</v>
      </c>
      <c r="T7" s="627" t="s">
        <v>25</v>
      </c>
      <c r="U7" s="628">
        <f t="shared" ref="U7:U15" si="1">H7</f>
        <v>0</v>
      </c>
      <c r="V7" s="627" t="s">
        <v>25</v>
      </c>
      <c r="W7" s="628">
        <f t="shared" ref="W7:W15" si="2">J7</f>
        <v>0</v>
      </c>
      <c r="X7" s="629"/>
      <c r="Y7" s="3648" t="s">
        <v>2019</v>
      </c>
      <c r="Z7" s="3649"/>
      <c r="AA7" s="630" t="e">
        <f>D7/F7</f>
        <v>#DIV/0!</v>
      </c>
      <c r="AB7" s="630" t="e">
        <f>D7/H7</f>
        <v>#DIV/0!</v>
      </c>
      <c r="AC7" s="630"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8" t="s">
        <v>2022</v>
      </c>
      <c r="Q8" s="3649"/>
      <c r="R8" s="627" t="s">
        <v>25</v>
      </c>
      <c r="S8" s="628">
        <f t="shared" si="0"/>
        <v>0</v>
      </c>
      <c r="T8" s="627" t="s">
        <v>25</v>
      </c>
      <c r="U8" s="628">
        <f t="shared" si="1"/>
        <v>0</v>
      </c>
      <c r="V8" s="627" t="s">
        <v>25</v>
      </c>
      <c r="W8" s="628">
        <f t="shared" si="2"/>
        <v>0</v>
      </c>
      <c r="X8" s="629"/>
      <c r="Y8" s="3648" t="s">
        <v>2022</v>
      </c>
      <c r="Z8" s="3649"/>
      <c r="AA8" s="630" t="e">
        <f t="shared" ref="AA8:AA40" si="3">D8/F8</f>
        <v>#DIV/0!</v>
      </c>
      <c r="AB8" s="630" t="e">
        <f t="shared" ref="AB8:AB40" si="4">D8/H8</f>
        <v>#DIV/0!</v>
      </c>
      <c r="AC8" s="630" t="e">
        <f t="shared" ref="AC8:AC40" si="5">D8/J8</f>
        <v>#DIV/0!</v>
      </c>
    </row>
    <row r="9" spans="1:29" s="25" customFormat="1">
      <c r="A9" s="308" t="s">
        <v>2023</v>
      </c>
      <c r="B9" s="24" t="s">
        <v>2024</v>
      </c>
      <c r="C9" s="1514" t="s">
        <v>2249</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5" t="s">
        <v>2025</v>
      </c>
      <c r="Q9" s="1255" t="str">
        <f t="shared" ref="Q9:Q15" si="6">B9</f>
        <v>用途</v>
      </c>
      <c r="R9" s="627" t="s">
        <v>25</v>
      </c>
      <c r="S9" s="628">
        <f t="shared" si="0"/>
        <v>100</v>
      </c>
      <c r="T9" s="627" t="s">
        <v>25</v>
      </c>
      <c r="U9" s="628">
        <f t="shared" si="1"/>
        <v>100</v>
      </c>
      <c r="V9" s="627" t="s">
        <v>25</v>
      </c>
      <c r="W9" s="628">
        <f t="shared" si="2"/>
        <v>100</v>
      </c>
      <c r="X9" s="629"/>
      <c r="Y9" s="3675" t="s">
        <v>2026</v>
      </c>
      <c r="Z9" s="19" t="str">
        <f t="shared" ref="Z9:Z15" si="7">Q9</f>
        <v>用途</v>
      </c>
      <c r="AA9" s="630">
        <f t="shared" si="3"/>
        <v>1</v>
      </c>
      <c r="AB9" s="630">
        <f t="shared" si="4"/>
        <v>1</v>
      </c>
      <c r="AC9" s="630">
        <f t="shared" si="5"/>
        <v>1</v>
      </c>
    </row>
    <row r="10" spans="1:29" s="317" customFormat="1" ht="27">
      <c r="A10" s="312"/>
      <c r="B10" s="313" t="s">
        <v>2027</v>
      </c>
      <c r="C10" s="322"/>
      <c r="D10" s="29">
        <v>100</v>
      </c>
      <c r="E10" s="322"/>
      <c r="F10" s="29">
        <f>ROUND(100/'数据-取费表'!B14,0)</f>
        <v>119</v>
      </c>
      <c r="G10" s="322"/>
      <c r="H10" s="29">
        <f>ROUND(100/'数据-取费表'!B14,0)</f>
        <v>119</v>
      </c>
      <c r="I10" s="322"/>
      <c r="J10" s="29">
        <f>ROUND(100/'数据-取费表'!B14,0)</f>
        <v>119</v>
      </c>
      <c r="K10" s="553"/>
      <c r="L10" s="2948"/>
      <c r="M10" s="2949"/>
      <c r="N10" s="2949"/>
      <c r="O10" s="2950"/>
      <c r="P10" s="3645"/>
      <c r="Q10" s="1255" t="str">
        <f t="shared" si="6"/>
        <v>土地使用年限（年）</v>
      </c>
      <c r="R10" s="627" t="s">
        <v>25</v>
      </c>
      <c r="S10" s="628">
        <f t="shared" si="0"/>
        <v>119</v>
      </c>
      <c r="T10" s="627" t="s">
        <v>25</v>
      </c>
      <c r="U10" s="628">
        <f t="shared" si="1"/>
        <v>119</v>
      </c>
      <c r="V10" s="627" t="s">
        <v>25</v>
      </c>
      <c r="W10" s="628">
        <f t="shared" si="2"/>
        <v>119</v>
      </c>
      <c r="X10" s="629"/>
      <c r="Y10" s="3675"/>
      <c r="Z10" s="19" t="str">
        <f t="shared" si="7"/>
        <v>土地使用年限（年）</v>
      </c>
      <c r="AA10" s="630">
        <f t="shared" si="3"/>
        <v>0.84033613445378152</v>
      </c>
      <c r="AB10" s="630">
        <f t="shared" si="4"/>
        <v>0.84033613445378152</v>
      </c>
      <c r="AC10" s="630">
        <f t="shared" si="5"/>
        <v>0.84033613445378152</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5"/>
      <c r="Q11" s="1255" t="str">
        <f t="shared" si="6"/>
        <v>容积率</v>
      </c>
      <c r="R11" s="627" t="s">
        <v>25</v>
      </c>
      <c r="S11" s="628" t="e">
        <f t="shared" si="0"/>
        <v>#N/A</v>
      </c>
      <c r="T11" s="627" t="s">
        <v>25</v>
      </c>
      <c r="U11" s="628" t="e">
        <f t="shared" si="1"/>
        <v>#N/A</v>
      </c>
      <c r="V11" s="627" t="s">
        <v>25</v>
      </c>
      <c r="W11" s="628" t="e">
        <f t="shared" si="2"/>
        <v>#N/A</v>
      </c>
      <c r="X11" s="629"/>
      <c r="Y11" s="3675"/>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5"/>
      <c r="Q14" s="1255">
        <f t="shared" si="6"/>
        <v>111</v>
      </c>
      <c r="R14" s="627" t="s">
        <v>25</v>
      </c>
      <c r="S14" s="628">
        <f t="shared" si="0"/>
        <v>100</v>
      </c>
      <c r="T14" s="627" t="s">
        <v>25</v>
      </c>
      <c r="U14" s="628">
        <f t="shared" si="1"/>
        <v>100</v>
      </c>
      <c r="V14" s="627" t="s">
        <v>25</v>
      </c>
      <c r="W14" s="628">
        <f t="shared" si="2"/>
        <v>100</v>
      </c>
      <c r="X14" s="629"/>
      <c r="Y14" s="3675"/>
      <c r="Z14" s="19">
        <f t="shared" si="7"/>
        <v>111</v>
      </c>
      <c r="AA14" s="630">
        <f t="shared" si="3"/>
        <v>1</v>
      </c>
      <c r="AB14" s="630">
        <f t="shared" si="4"/>
        <v>1</v>
      </c>
      <c r="AC14" s="630">
        <f t="shared" si="5"/>
        <v>1</v>
      </c>
    </row>
    <row r="15" spans="1:29" ht="57">
      <c r="A15" s="329" t="s">
        <v>2029</v>
      </c>
      <c r="B15" s="511" t="s">
        <v>2250</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73" t="s">
        <v>2030</v>
      </c>
      <c r="Q15" s="1262" t="str">
        <f t="shared" si="6"/>
        <v>产业集聚程度</v>
      </c>
      <c r="R15" s="631" t="s">
        <v>25</v>
      </c>
      <c r="S15" s="632">
        <f t="shared" si="0"/>
        <v>100</v>
      </c>
      <c r="T15" s="631" t="s">
        <v>25</v>
      </c>
      <c r="U15" s="632">
        <f t="shared" si="1"/>
        <v>100</v>
      </c>
      <c r="V15" s="631" t="s">
        <v>25</v>
      </c>
      <c r="W15" s="632">
        <f t="shared" si="2"/>
        <v>100</v>
      </c>
      <c r="X15" s="1263"/>
      <c r="Y15" s="3673" t="s">
        <v>2030</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74"/>
      <c r="Q16" s="1262"/>
      <c r="R16" s="631"/>
      <c r="S16" s="632"/>
      <c r="T16" s="631"/>
      <c r="U16" s="632"/>
      <c r="V16" s="631"/>
      <c r="W16" s="632"/>
      <c r="X16" s="1263"/>
      <c r="Y16" s="3674"/>
      <c r="Z16" s="1264"/>
      <c r="AA16" s="1265">
        <v>1</v>
      </c>
      <c r="AB16" s="1265">
        <v>1</v>
      </c>
      <c r="AC16" s="1265">
        <v>1</v>
      </c>
    </row>
    <row r="17" spans="1:29" ht="85.5">
      <c r="A17" s="318"/>
      <c r="B17" s="513" t="s">
        <v>2167</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74"/>
      <c r="Q17" s="1262" t="str">
        <f>B17</f>
        <v>交通便捷度</v>
      </c>
      <c r="R17" s="631" t="s">
        <v>25</v>
      </c>
      <c r="S17" s="632">
        <f>F17</f>
        <v>100</v>
      </c>
      <c r="T17" s="631" t="s">
        <v>25</v>
      </c>
      <c r="U17" s="632">
        <f>H17</f>
        <v>100</v>
      </c>
      <c r="V17" s="631" t="s">
        <v>25</v>
      </c>
      <c r="W17" s="632">
        <f>J17</f>
        <v>100</v>
      </c>
      <c r="X17" s="1263"/>
      <c r="Y17" s="3674"/>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74"/>
      <c r="Q18" s="1262"/>
      <c r="R18" s="631"/>
      <c r="S18" s="632"/>
      <c r="T18" s="631"/>
      <c r="U18" s="632"/>
      <c r="V18" s="631"/>
      <c r="W18" s="632"/>
      <c r="X18" s="1263"/>
      <c r="Y18" s="3674"/>
      <c r="Z18" s="1264"/>
      <c r="AA18" s="1265">
        <v>1</v>
      </c>
      <c r="AB18" s="1265">
        <v>1</v>
      </c>
      <c r="AC18" s="1265">
        <v>1</v>
      </c>
    </row>
    <row r="19" spans="1:29" ht="15">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74"/>
      <c r="Q19" s="1262" t="str">
        <f t="shared" ref="Q19:Q33" si="8">B19</f>
        <v>区域土地利用方向</v>
      </c>
      <c r="R19" s="631" t="s">
        <v>25</v>
      </c>
      <c r="S19" s="632">
        <f>F19</f>
        <v>100</v>
      </c>
      <c r="T19" s="631" t="s">
        <v>25</v>
      </c>
      <c r="U19" s="632">
        <f>H19</f>
        <v>100</v>
      </c>
      <c r="V19" s="631" t="s">
        <v>25</v>
      </c>
      <c r="W19" s="632">
        <f>J19</f>
        <v>100</v>
      </c>
      <c r="X19" s="1263"/>
      <c r="Y19" s="3674"/>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74"/>
      <c r="Q20" s="1262"/>
      <c r="R20" s="631"/>
      <c r="S20" s="632"/>
      <c r="T20" s="631"/>
      <c r="U20" s="632"/>
      <c r="V20" s="631"/>
      <c r="W20" s="632"/>
      <c r="X20" s="1263"/>
      <c r="Y20" s="3674"/>
      <c r="Z20" s="1264"/>
      <c r="AA20" s="1265"/>
      <c r="AB20" s="1265"/>
      <c r="AC20" s="1265"/>
    </row>
    <row r="21" spans="1:29" ht="71.25">
      <c r="A21" s="297"/>
      <c r="B21" s="513" t="s">
        <v>2251</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74"/>
      <c r="Q21" s="1262" t="str">
        <f t="shared" si="8"/>
        <v>环境状况</v>
      </c>
      <c r="R21" s="631" t="s">
        <v>25</v>
      </c>
      <c r="S21" s="632">
        <f>F21</f>
        <v>100</v>
      </c>
      <c r="T21" s="631" t="s">
        <v>25</v>
      </c>
      <c r="U21" s="632">
        <f>H21</f>
        <v>100</v>
      </c>
      <c r="V21" s="631" t="s">
        <v>25</v>
      </c>
      <c r="W21" s="632">
        <f>J21</f>
        <v>100</v>
      </c>
      <c r="X21" s="1263"/>
      <c r="Y21" s="3674"/>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74"/>
      <c r="Q22" s="1262"/>
      <c r="R22" s="631"/>
      <c r="S22" s="632"/>
      <c r="T22" s="631"/>
      <c r="U22" s="632"/>
      <c r="V22" s="631"/>
      <c r="W22" s="632"/>
      <c r="X22" s="1263"/>
      <c r="Y22" s="3674"/>
      <c r="Z22" s="1264"/>
      <c r="AA22" s="1265">
        <v>1</v>
      </c>
      <c r="AB22" s="1265">
        <v>1</v>
      </c>
      <c r="AC22" s="1265">
        <v>1</v>
      </c>
    </row>
    <row r="23" spans="1:29" s="25" customFormat="1" ht="42.75">
      <c r="A23" s="531"/>
      <c r="B23" s="513" t="s">
        <v>2116</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74"/>
      <c r="Q23" s="1255" t="str">
        <f t="shared" si="8"/>
        <v>公共配套设施</v>
      </c>
      <c r="R23" s="627" t="s">
        <v>25</v>
      </c>
      <c r="S23" s="628">
        <f>F23</f>
        <v>100</v>
      </c>
      <c r="T23" s="627" t="s">
        <v>25</v>
      </c>
      <c r="U23" s="628">
        <f>H23</f>
        <v>100</v>
      </c>
      <c r="V23" s="627" t="s">
        <v>25</v>
      </c>
      <c r="W23" s="628">
        <f>J23</f>
        <v>100</v>
      </c>
      <c r="X23" s="629"/>
      <c r="Y23" s="3674"/>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74"/>
      <c r="Q24" s="1255"/>
      <c r="R24" s="627"/>
      <c r="S24" s="628"/>
      <c r="T24" s="627"/>
      <c r="U24" s="628"/>
      <c r="V24" s="627"/>
      <c r="W24" s="628"/>
      <c r="X24" s="629"/>
      <c r="Y24" s="3674"/>
      <c r="Z24" s="19"/>
      <c r="AA24" s="630">
        <v>1</v>
      </c>
      <c r="AB24" s="630">
        <v>1</v>
      </c>
      <c r="AC24" s="630">
        <v>1</v>
      </c>
    </row>
    <row r="25" spans="1:29" s="25" customFormat="1" ht="28.5">
      <c r="A25" s="531"/>
      <c r="B25" s="515" t="s">
        <v>2117</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74"/>
      <c r="Q25" s="1255" t="str">
        <f t="shared" ref="Q25" si="9">B25</f>
        <v>基础设施水平</v>
      </c>
      <c r="R25" s="627" t="s">
        <v>25</v>
      </c>
      <c r="S25" s="628">
        <f>F25</f>
        <v>100</v>
      </c>
      <c r="T25" s="627" t="s">
        <v>25</v>
      </c>
      <c r="U25" s="628">
        <f>H25</f>
        <v>100</v>
      </c>
      <c r="V25" s="627" t="s">
        <v>25</v>
      </c>
      <c r="W25" s="628">
        <f>J25</f>
        <v>100</v>
      </c>
      <c r="X25" s="629"/>
      <c r="Y25" s="3674"/>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74"/>
      <c r="Q26" s="1255"/>
      <c r="R26" s="627"/>
      <c r="S26" s="628"/>
      <c r="T26" s="627"/>
      <c r="U26" s="628"/>
      <c r="V26" s="627"/>
      <c r="W26" s="628"/>
      <c r="X26" s="629"/>
      <c r="Y26" s="3674"/>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74"/>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4"/>
      <c r="Z27" s="1264" t="str">
        <f t="shared" ref="Z27:Z40" si="13">Q27</f>
        <v>临街状况</v>
      </c>
      <c r="AA27" s="1265">
        <f t="shared" si="3"/>
        <v>1</v>
      </c>
      <c r="AB27" s="1265">
        <f t="shared" si="4"/>
        <v>1</v>
      </c>
      <c r="AC27" s="1265">
        <f t="shared" si="5"/>
        <v>1</v>
      </c>
    </row>
    <row r="28" spans="1:29" ht="27">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74"/>
      <c r="Q28" s="1262" t="str">
        <f t="shared" si="8"/>
        <v>毗邻道路的类型与等级</v>
      </c>
      <c r="R28" s="631" t="s">
        <v>25</v>
      </c>
      <c r="S28" s="632">
        <f t="shared" si="10"/>
        <v>100</v>
      </c>
      <c r="T28" s="631" t="s">
        <v>25</v>
      </c>
      <c r="U28" s="632">
        <f t="shared" si="11"/>
        <v>100</v>
      </c>
      <c r="V28" s="631" t="s">
        <v>25</v>
      </c>
      <c r="W28" s="632">
        <f t="shared" si="12"/>
        <v>100</v>
      </c>
      <c r="X28" s="1263"/>
      <c r="Y28" s="3674"/>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74"/>
      <c r="Q29" s="1262"/>
      <c r="R29" s="631"/>
      <c r="S29" s="632"/>
      <c r="T29" s="631"/>
      <c r="U29" s="632"/>
      <c r="V29" s="631"/>
      <c r="W29" s="632"/>
      <c r="X29" s="1263"/>
      <c r="Y29" s="3674"/>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74"/>
      <c r="Q30" s="1262" t="str">
        <f t="shared" si="8"/>
        <v>土地级别</v>
      </c>
      <c r="R30" s="631" t="s">
        <v>25</v>
      </c>
      <c r="S30" s="632">
        <f t="shared" si="10"/>
        <v>100</v>
      </c>
      <c r="T30" s="631" t="s">
        <v>25</v>
      </c>
      <c r="U30" s="632">
        <f t="shared" si="11"/>
        <v>100</v>
      </c>
      <c r="V30" s="631" t="s">
        <v>25</v>
      </c>
      <c r="W30" s="632">
        <f t="shared" si="12"/>
        <v>100</v>
      </c>
      <c r="X30" s="1263"/>
      <c r="Y30" s="3674"/>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74"/>
      <c r="Q31" s="1262">
        <f t="shared" si="8"/>
        <v>111</v>
      </c>
      <c r="R31" s="631" t="s">
        <v>25</v>
      </c>
      <c r="S31" s="632">
        <f t="shared" si="10"/>
        <v>100</v>
      </c>
      <c r="T31" s="631" t="s">
        <v>25</v>
      </c>
      <c r="U31" s="632">
        <f t="shared" si="11"/>
        <v>100</v>
      </c>
      <c r="V31" s="631" t="s">
        <v>25</v>
      </c>
      <c r="W31" s="632">
        <f t="shared" si="12"/>
        <v>100</v>
      </c>
      <c r="X31" s="1263"/>
      <c r="Y31" s="3674"/>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76" t="s">
        <v>2036</v>
      </c>
      <c r="Q32" s="1262">
        <f t="shared" si="8"/>
        <v>111</v>
      </c>
      <c r="R32" s="631" t="s">
        <v>25</v>
      </c>
      <c r="S32" s="632">
        <f t="shared" si="10"/>
        <v>100</v>
      </c>
      <c r="T32" s="631" t="s">
        <v>25</v>
      </c>
      <c r="U32" s="632">
        <f t="shared" si="11"/>
        <v>100</v>
      </c>
      <c r="V32" s="631" t="s">
        <v>25</v>
      </c>
      <c r="W32" s="632">
        <f t="shared" si="12"/>
        <v>100</v>
      </c>
      <c r="X32" s="1263"/>
      <c r="Y32" s="3677" t="s">
        <v>2036</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7"/>
      <c r="Q33" s="1262">
        <f t="shared" si="8"/>
        <v>111</v>
      </c>
      <c r="R33" s="634" t="s">
        <v>25</v>
      </c>
      <c r="S33" s="635">
        <f t="shared" si="10"/>
        <v>100</v>
      </c>
      <c r="T33" s="634" t="s">
        <v>25</v>
      </c>
      <c r="U33" s="635">
        <f t="shared" si="11"/>
        <v>100</v>
      </c>
      <c r="V33" s="634" t="s">
        <v>25</v>
      </c>
      <c r="W33" s="635">
        <f t="shared" si="12"/>
        <v>100</v>
      </c>
      <c r="X33" s="636"/>
      <c r="Y33" s="3677"/>
      <c r="Z33" s="637">
        <f t="shared" si="13"/>
        <v>111</v>
      </c>
      <c r="AA33" s="1265">
        <f t="shared" si="3"/>
        <v>1</v>
      </c>
      <c r="AB33" s="1265">
        <f t="shared" si="4"/>
        <v>1</v>
      </c>
      <c r="AC33" s="1265">
        <f t="shared" si="5"/>
        <v>1</v>
      </c>
    </row>
    <row r="34" spans="1:29" ht="1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7"/>
      <c r="Q34" s="1262" t="str">
        <f>B34</f>
        <v>宗地面积</v>
      </c>
      <c r="R34" s="631" t="s">
        <v>25</v>
      </c>
      <c r="S34" s="632" t="e">
        <f t="shared" si="10"/>
        <v>#N/A</v>
      </c>
      <c r="T34" s="631" t="s">
        <v>25</v>
      </c>
      <c r="U34" s="632" t="e">
        <f t="shared" si="11"/>
        <v>#N/A</v>
      </c>
      <c r="V34" s="631" t="s">
        <v>25</v>
      </c>
      <c r="W34" s="632" t="e">
        <f t="shared" si="12"/>
        <v>#N/A</v>
      </c>
      <c r="X34" s="1263"/>
      <c r="Y34" s="3677"/>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7"/>
      <c r="Q35" s="1262" t="str">
        <f t="shared" ref="Q35:Q40" si="14">B35</f>
        <v>宗地形状</v>
      </c>
      <c r="R35" s="631" t="s">
        <v>25</v>
      </c>
      <c r="S35" s="632">
        <f t="shared" si="10"/>
        <v>100</v>
      </c>
      <c r="T35" s="631" t="s">
        <v>25</v>
      </c>
      <c r="U35" s="632">
        <f t="shared" si="11"/>
        <v>100</v>
      </c>
      <c r="V35" s="631" t="s">
        <v>25</v>
      </c>
      <c r="W35" s="632">
        <f t="shared" si="12"/>
        <v>100</v>
      </c>
      <c r="X35" s="1263"/>
      <c r="Y35" s="3677"/>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7"/>
      <c r="Q36" s="1262" t="str">
        <f t="shared" si="14"/>
        <v>宗地开发程度</v>
      </c>
      <c r="R36" s="627" t="s">
        <v>25</v>
      </c>
      <c r="S36" s="628">
        <f t="shared" si="10"/>
        <v>100</v>
      </c>
      <c r="T36" s="627" t="s">
        <v>25</v>
      </c>
      <c r="U36" s="628">
        <f t="shared" si="11"/>
        <v>100</v>
      </c>
      <c r="V36" s="627" t="s">
        <v>25</v>
      </c>
      <c r="W36" s="628">
        <f t="shared" si="12"/>
        <v>100</v>
      </c>
      <c r="X36" s="629"/>
      <c r="Y36" s="3677"/>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7" t="s">
        <v>2036</v>
      </c>
      <c r="Q37" s="1262" t="str">
        <f t="shared" si="14"/>
        <v>工程地质条件</v>
      </c>
      <c r="R37" s="631" t="s">
        <v>25</v>
      </c>
      <c r="S37" s="632">
        <f t="shared" si="10"/>
        <v>100</v>
      </c>
      <c r="T37" s="631" t="s">
        <v>25</v>
      </c>
      <c r="U37" s="632">
        <f t="shared" si="11"/>
        <v>100</v>
      </c>
      <c r="V37" s="631" t="s">
        <v>25</v>
      </c>
      <c r="W37" s="632">
        <f t="shared" si="12"/>
        <v>100</v>
      </c>
      <c r="X37" s="1263"/>
      <c r="Y37" s="3677" t="s">
        <v>2036</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7"/>
      <c r="Q38" s="1262">
        <f t="shared" si="14"/>
        <v>111</v>
      </c>
      <c r="R38" s="631" t="s">
        <v>25</v>
      </c>
      <c r="S38" s="632">
        <f t="shared" si="10"/>
        <v>100</v>
      </c>
      <c r="T38" s="631" t="s">
        <v>25</v>
      </c>
      <c r="U38" s="632">
        <f t="shared" si="11"/>
        <v>100</v>
      </c>
      <c r="V38" s="631" t="s">
        <v>25</v>
      </c>
      <c r="W38" s="632">
        <f t="shared" si="12"/>
        <v>100</v>
      </c>
      <c r="X38" s="1263"/>
      <c r="Y38" s="3677"/>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7"/>
      <c r="Q39" s="1262">
        <f t="shared" si="14"/>
        <v>111</v>
      </c>
      <c r="R39" s="631" t="s">
        <v>25</v>
      </c>
      <c r="S39" s="632">
        <f t="shared" si="10"/>
        <v>100</v>
      </c>
      <c r="T39" s="631" t="s">
        <v>25</v>
      </c>
      <c r="U39" s="632">
        <f t="shared" si="11"/>
        <v>100</v>
      </c>
      <c r="V39" s="631" t="s">
        <v>25</v>
      </c>
      <c r="W39" s="632">
        <f t="shared" si="12"/>
        <v>100</v>
      </c>
      <c r="X39" s="1263"/>
      <c r="Y39" s="3677"/>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7"/>
      <c r="Q40" s="1262">
        <f t="shared" si="14"/>
        <v>111</v>
      </c>
      <c r="R40" s="634" t="s">
        <v>25</v>
      </c>
      <c r="S40" s="635">
        <f t="shared" si="10"/>
        <v>100</v>
      </c>
      <c r="T40" s="634" t="s">
        <v>25</v>
      </c>
      <c r="U40" s="635">
        <f t="shared" si="11"/>
        <v>100</v>
      </c>
      <c r="V40" s="634" t="s">
        <v>25</v>
      </c>
      <c r="W40" s="635">
        <f t="shared" si="12"/>
        <v>100</v>
      </c>
      <c r="X40" s="636"/>
      <c r="Y40" s="3677"/>
      <c r="Z40" s="637">
        <f t="shared" si="13"/>
        <v>111</v>
      </c>
      <c r="AA40" s="1265">
        <f t="shared" si="3"/>
        <v>1</v>
      </c>
      <c r="AB40" s="1265">
        <f t="shared" si="4"/>
        <v>1</v>
      </c>
      <c r="AC40" s="1265">
        <f t="shared" si="5"/>
        <v>1</v>
      </c>
    </row>
    <row r="41" spans="1:29" ht="15">
      <c r="A41" s="367" t="s">
        <v>2178</v>
      </c>
      <c r="B41" s="1519" t="s">
        <v>2252</v>
      </c>
      <c r="C41" s="562" t="s">
        <v>1</v>
      </c>
      <c r="D41" s="369"/>
      <c r="E41" s="370"/>
      <c r="F41" s="371"/>
      <c r="G41" s="372"/>
      <c r="H41" s="373"/>
      <c r="I41" s="370"/>
      <c r="J41" s="373"/>
      <c r="K41" s="640"/>
      <c r="L41" s="2955"/>
      <c r="M41" s="2944"/>
      <c r="N41" s="2944"/>
      <c r="P41" s="3645" t="str">
        <f>A41</f>
        <v>成交单价</v>
      </c>
      <c r="Q41" s="3645"/>
      <c r="R41" s="3669">
        <f>E41</f>
        <v>0</v>
      </c>
      <c r="S41" s="3669"/>
      <c r="T41" s="3669">
        <f>G41</f>
        <v>0</v>
      </c>
      <c r="U41" s="3669"/>
      <c r="V41" s="3669">
        <f>I41</f>
        <v>0</v>
      </c>
      <c r="W41" s="3669"/>
      <c r="X41" s="618"/>
      <c r="Y41" s="638"/>
      <c r="Z41" s="618"/>
      <c r="AA41" s="618"/>
      <c r="AB41" s="618"/>
      <c r="AC41" s="618"/>
    </row>
    <row r="42" spans="1:29" ht="15.75" thickBot="1">
      <c r="A42" s="374" t="s">
        <v>2131</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45" t="str">
        <f>A42</f>
        <v>比较价值（元/平方米）</v>
      </c>
      <c r="Q42" s="3645"/>
      <c r="R42" s="3686" t="e">
        <f>ROUND(PRODUCT(R41,AA7:AA40),0)</f>
        <v>#DIV/0!</v>
      </c>
      <c r="S42" s="3686"/>
      <c r="T42" s="3686" t="e">
        <f>ROUND(PRODUCT(T41,AB7:AB40),0)</f>
        <v>#DIV/0!</v>
      </c>
      <c r="U42" s="3686"/>
      <c r="V42" s="3686" t="e">
        <f>ROUND(PRODUCT(V41,AC7:AC40),0)</f>
        <v>#DIV/0!</v>
      </c>
      <c r="W42" s="3686"/>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5"/>
      <c r="M43" s="2944"/>
      <c r="N43" s="2944"/>
      <c r="P43" s="3680" t="str">
        <f>A43</f>
        <v>估价对象XX用房的比较价值（楼面单价，元/平方米）</v>
      </c>
      <c r="Q43" s="3681"/>
      <c r="R43" s="3685" t="e">
        <f>ROUND(IF(D42="简单平均",AVERAGE(R42:W42),R42*F42+T42*H42+V42*J42),0)</f>
        <v>#DIV/0!</v>
      </c>
      <c r="S43" s="3685"/>
      <c r="T43" s="3685"/>
      <c r="U43" s="3685"/>
      <c r="V43" s="3685"/>
      <c r="W43" s="3685"/>
      <c r="X43" s="618"/>
      <c r="Y43" s="618"/>
      <c r="Z43" s="618"/>
      <c r="AA43" s="618"/>
      <c r="AB43" s="618"/>
      <c r="AC43" s="618"/>
    </row>
    <row r="44" spans="1:29">
      <c r="G44" s="2958"/>
      <c r="M44" s="2944"/>
      <c r="N44" s="2944"/>
    </row>
    <row r="45" spans="1:29">
      <c r="M45" s="2944"/>
      <c r="N45" s="2944"/>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2216</v>
      </c>
      <c r="B50" s="565" t="s">
        <v>2217</v>
      </c>
      <c r="C50" s="1520" t="s">
        <v>2218</v>
      </c>
      <c r="D50" s="1521" t="s">
        <v>2219</v>
      </c>
      <c r="E50" s="566" t="s">
        <v>2220</v>
      </c>
      <c r="F50" s="567" t="s">
        <v>2221</v>
      </c>
      <c r="G50" s="1264" t="s">
        <v>2253</v>
      </c>
      <c r="H50" s="1264" t="str">
        <f>项目基本情况!G8</f>
        <v>XX</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2022-4-1</v>
      </c>
      <c r="D62" s="1111">
        <f>EDATE(C62,-3)</f>
        <v>44562</v>
      </c>
      <c r="E62" s="1111">
        <f t="shared" ref="E62:O62" si="18">EDATE(D62,-3)</f>
        <v>44470</v>
      </c>
      <c r="F62" s="1111">
        <f t="shared" si="18"/>
        <v>44378</v>
      </c>
      <c r="G62" s="1111">
        <f t="shared" si="18"/>
        <v>44287</v>
      </c>
      <c r="H62" s="1111">
        <f t="shared" si="18"/>
        <v>44197</v>
      </c>
      <c r="I62" s="1111">
        <f t="shared" si="18"/>
        <v>44105</v>
      </c>
      <c r="J62" s="1111">
        <f t="shared" si="18"/>
        <v>44013</v>
      </c>
      <c r="K62" s="1111">
        <f t="shared" si="18"/>
        <v>43922</v>
      </c>
      <c r="L62" s="1111">
        <f t="shared" si="18"/>
        <v>43831</v>
      </c>
      <c r="M62" s="1111">
        <f t="shared" si="18"/>
        <v>43739</v>
      </c>
      <c r="N62" s="1111">
        <f t="shared" si="18"/>
        <v>43647</v>
      </c>
      <c r="O62" s="1111">
        <f t="shared" si="18"/>
        <v>43556</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3" t="s">
        <v>2234</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2254</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估价对象为北京市房地产，为XX所有。根据《》[]，估价对象建筑面积为176.29平方米。根据《》[]，估价对象（分摊）出让国有建设用地使用权面积为43.2平方米。估价对象用途为。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2022年4月25日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本次估价的“房地产价值”是指在正常市场情况下，在价值时点2022年4月25日，估价对象规划用途为，假定未设立法定优先受偿款下的房地产市场价值。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2255</v>
      </c>
      <c r="B1" s="2026"/>
      <c r="C1" s="2027" t="s">
        <v>2256</v>
      </c>
      <c r="D1" s="2028">
        <f>SUM(D29:D30,D33:D39)</f>
        <v>176.29</v>
      </c>
      <c r="E1" s="2028"/>
      <c r="F1" s="2028"/>
      <c r="G1" s="2028"/>
      <c r="H1" s="2028"/>
      <c r="I1" s="2028"/>
      <c r="J1" s="2028"/>
      <c r="K1" s="2968"/>
      <c r="L1" s="2029" t="s">
        <v>2257</v>
      </c>
      <c r="M1" s="2030">
        <f>SUMPRODUCT((区片价!B5:B9=I2)*(区片价!C3:F3=E2)*(区片价!C5:F9))</f>
        <v>0</v>
      </c>
      <c r="N1" s="2031">
        <f>SUMPRODUCT((因素修正幅度!B5:B9=I2)*(因素修正幅度!C3:F3=E2)*(因素修正幅度!C5:F9))</f>
        <v>0</v>
      </c>
      <c r="O1" s="2968"/>
      <c r="P1" s="2968"/>
      <c r="Q1" s="2968"/>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4.75">
      <c r="A2" s="1889" t="s">
        <v>2263</v>
      </c>
      <c r="B2" s="1587" t="e">
        <f>C26</f>
        <v>#REF!</v>
      </c>
      <c r="C2" s="2036" t="s">
        <v>2264</v>
      </c>
      <c r="D2" s="1530" t="s">
        <v>2265</v>
      </c>
      <c r="E2" s="2037" t="s">
        <v>2642</v>
      </c>
      <c r="F2" s="1530" t="s">
        <v>2266</v>
      </c>
      <c r="G2" s="2038">
        <f>项目基本情况!F9</f>
        <v>0</v>
      </c>
      <c r="H2" s="1531" t="s">
        <v>2267</v>
      </c>
      <c r="I2" s="2038">
        <f>项目基本情况!F10</f>
        <v>0</v>
      </c>
      <c r="J2" s="2039"/>
      <c r="K2" s="2968"/>
      <c r="L2" s="2040" t="s">
        <v>2268</v>
      </c>
      <c r="M2" s="2041">
        <f>SUMPRODUCT((区片价!B10:B28=I2)*(区片价!C3:F3=E2)*(区片价!C10:F28))</f>
        <v>0</v>
      </c>
      <c r="N2" s="2042">
        <f>SUMPRODUCT((因素修正幅度!B10:B28=I2)*(因素修正幅度!C3:F3=E2)*(因素修正幅度!C10:F28))</f>
        <v>0</v>
      </c>
      <c r="O2" s="2968"/>
      <c r="P2" s="2968"/>
      <c r="Q2" s="2968"/>
      <c r="R2" s="2032">
        <v>1</v>
      </c>
      <c r="S2" s="2032">
        <f>ROUND(IF(G3&gt;1,IF(R2&lt;7,SUMPRODUCT((B93:B98=R2)*(C92:N92=G2)*(C93:N98)),SUMIF(C92:N92,G2,C100:N100)),IF(R2&lt;7,SUMPRODUCT((B102:B107=R2)*(C92:N92=G2)*(C102:N107)),SUMIF(C92:N92,G2,C109:N109))),4)</f>
        <v>0</v>
      </c>
      <c r="T2" s="2032">
        <f>ROUND($C$5*$C$18*$C$19*$C$20*S2*$C$24,0)</f>
        <v>0</v>
      </c>
      <c r="U2" s="2043"/>
      <c r="V2" s="2032">
        <f t="shared" ref="V2:V8" si="0">ROUND(T2*U2,0)</f>
        <v>0</v>
      </c>
      <c r="W2" s="2033"/>
      <c r="X2" s="2033"/>
      <c r="Y2" s="2033"/>
      <c r="Z2" s="2033"/>
      <c r="AA2" s="2033"/>
      <c r="AB2" s="2033"/>
      <c r="AC2" s="2033"/>
      <c r="AD2" s="2034"/>
      <c r="AE2" s="2034"/>
      <c r="AF2" s="2034"/>
      <c r="AG2" s="2034"/>
      <c r="AH2" s="2034"/>
      <c r="AI2" s="2034"/>
      <c r="AJ2" s="2035"/>
    </row>
    <row r="3" spans="1:36" ht="25.5">
      <c r="A3" s="1587" t="s">
        <v>2269</v>
      </c>
      <c r="B3" s="1587" t="e">
        <f>ROUND(B2/D1,0)</f>
        <v>#REF!</v>
      </c>
      <c r="C3" s="2036" t="s">
        <v>2270</v>
      </c>
      <c r="D3" s="1530" t="s">
        <v>2271</v>
      </c>
      <c r="E3" s="2037" t="s">
        <v>2644</v>
      </c>
      <c r="F3" s="1532" t="s">
        <v>2272</v>
      </c>
      <c r="G3" s="2044">
        <f>项目基本情况!C15</f>
        <v>4.08</v>
      </c>
      <c r="H3" s="50" t="s">
        <v>2273</v>
      </c>
      <c r="I3" s="2045"/>
      <c r="J3" s="2039" t="s">
        <v>2274</v>
      </c>
      <c r="K3" s="2968"/>
      <c r="L3" s="2040" t="s">
        <v>2275</v>
      </c>
      <c r="M3" s="2041">
        <f>SUMPRODUCT((区片价!B29:B48=I2)*(区片价!C3:F3=E2)*(区片价!C29:F48))</f>
        <v>0</v>
      </c>
      <c r="N3" s="2042">
        <f>SUMPRODUCT((因素修正幅度!B29:B48=I2)*(因素修正幅度!C3:F3=E2)*(因素修正幅度!C29:F48))</f>
        <v>0</v>
      </c>
      <c r="O3" s="2968"/>
      <c r="P3" s="2968"/>
      <c r="Q3" s="2968"/>
      <c r="R3" s="2032">
        <v>2</v>
      </c>
      <c r="S3" s="2032">
        <f>ROUND(IF(G3&gt;1,IF(R3&lt;7,SUMPRODUCT((B93:B98=R3)*(C92:N92=G2)*(C93:N98)),SUMIF(C92:N92,G2,C100:N100)),IF(R3&lt;7,SUMPRODUCT((B102:B107=R3)*(C92:N92=G2)*(C102:N107)),SUMIF(C92:N92,G2,C109:N109))),4)</f>
        <v>0</v>
      </c>
      <c r="T3" s="2032">
        <f t="shared" ref="T3:T16" si="1">ROUND($C$5*$C$18*$C$19*$C$20*S3*$C$24,0)</f>
        <v>0</v>
      </c>
      <c r="U3" s="2043"/>
      <c r="V3" s="2032">
        <f t="shared" si="0"/>
        <v>0</v>
      </c>
      <c r="W3" s="2033"/>
      <c r="X3" s="2033"/>
      <c r="Y3" s="2033"/>
      <c r="Z3" s="2033"/>
      <c r="AA3" s="2033"/>
      <c r="AB3" s="2033"/>
      <c r="AC3" s="2033"/>
      <c r="AD3" s="2034"/>
      <c r="AE3" s="2034"/>
      <c r="AF3" s="2034"/>
      <c r="AG3" s="2034"/>
      <c r="AH3" s="2034"/>
      <c r="AI3" s="2034"/>
      <c r="AJ3" s="2035"/>
    </row>
    <row r="4" spans="1:36" ht="15.75">
      <c r="A4" s="3704"/>
      <c r="B4" s="3705"/>
      <c r="C4" s="3705"/>
      <c r="D4" s="3706"/>
      <c r="E4" s="3706"/>
      <c r="F4" s="3706"/>
      <c r="G4" s="3706"/>
      <c r="H4" s="3706"/>
      <c r="I4" s="3706"/>
      <c r="J4" s="3707"/>
      <c r="K4" s="2968"/>
      <c r="L4" s="2040" t="s">
        <v>2276</v>
      </c>
      <c r="M4" s="2041">
        <f>SUMPRODUCT((区片价!B49:B75=I2)*(区片价!C3:F3=E2)*(区片价!C49:F75))</f>
        <v>0</v>
      </c>
      <c r="N4" s="2042">
        <f>SUMPRODUCT((因素修正幅度!B49:B75=I2)*(因素修正幅度!C3:F3=E2)*(因素修正幅度!C49:F75))</f>
        <v>0</v>
      </c>
      <c r="O4" s="2968"/>
      <c r="P4" s="2968"/>
      <c r="Q4" s="2968"/>
      <c r="R4" s="2032">
        <v>3</v>
      </c>
      <c r="S4" s="2032">
        <f>ROUND(IF(G3&gt;1,IF(R4&lt;7,SUMPRODUCT((B93:B98=R4)*(C92:N92=G2)*(C93:N98)),SUMIF(C92:N92,G2,C100:N100)),IF(R4&lt;7,SUMPRODUCT((B102:B107=R4)*(C92:N92=G2)*(C102:N107)),SUMIF(C92:N92,G2,C109:N109))),4)</f>
        <v>0</v>
      </c>
      <c r="T4" s="2032">
        <f t="shared" si="1"/>
        <v>0</v>
      </c>
      <c r="U4" s="2043"/>
      <c r="V4" s="2032">
        <f t="shared" si="0"/>
        <v>0</v>
      </c>
      <c r="W4" s="2033"/>
      <c r="X4" s="2033"/>
      <c r="Y4" s="2033"/>
      <c r="Z4" s="2033"/>
      <c r="AA4" s="2033"/>
      <c r="AB4" s="2033"/>
      <c r="AC4" s="2033"/>
      <c r="AD4" s="2034"/>
      <c r="AE4" s="2034"/>
      <c r="AF4" s="2034"/>
      <c r="AG4" s="2034"/>
      <c r="AH4" s="2034"/>
      <c r="AI4" s="2034"/>
      <c r="AJ4" s="2035"/>
    </row>
    <row r="5" spans="1:36" s="2053" customFormat="1" ht="15.75"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8"/>
      <c r="P5" s="2968"/>
      <c r="Q5" s="2968"/>
      <c r="R5" s="2032">
        <v>4</v>
      </c>
      <c r="S5" s="2032">
        <f>ROUND(IF(G3&gt;1,IF(R5&lt;7,SUMPRODUCT((B93:B98=R5)*(C92:N92=G2)*(C93:N98)),SUMIF(C92:N92,G2,C100:N100)),IF(R5&lt;7,SUMPRODUCT((B102:B107=R5)*(C92:N92=G2)*(C102:N107)),SUMIF(C92:N92,G2,C109:N109))),4)</f>
        <v>0</v>
      </c>
      <c r="T5" s="2032">
        <f t="shared" si="1"/>
        <v>0</v>
      </c>
      <c r="U5" s="2043"/>
      <c r="V5" s="2032">
        <f t="shared" si="0"/>
        <v>0</v>
      </c>
      <c r="W5" s="2033"/>
      <c r="X5" s="2033"/>
      <c r="Y5" s="2033"/>
      <c r="Z5" s="2033"/>
      <c r="AA5" s="2033"/>
      <c r="AB5" s="2033"/>
      <c r="AC5" s="2050"/>
      <c r="AD5" s="2051"/>
      <c r="AE5" s="2051"/>
      <c r="AF5" s="2051"/>
      <c r="AG5" s="2051"/>
      <c r="AH5" s="2051"/>
      <c r="AI5" s="2051"/>
      <c r="AJ5" s="2052"/>
    </row>
    <row r="6" spans="1:36" ht="15.75" thickBot="1">
      <c r="A6" s="2054">
        <v>1</v>
      </c>
      <c r="B6" s="1534" t="s">
        <v>2280</v>
      </c>
      <c r="C6" s="2055">
        <f>SUMIF(L1:L12,G2,M1:M12)</f>
        <v>0</v>
      </c>
      <c r="D6" s="2056" t="s">
        <v>2281</v>
      </c>
      <c r="E6" s="1534"/>
      <c r="F6" s="1534"/>
      <c r="G6" s="2057"/>
      <c r="H6" s="2057"/>
      <c r="I6" s="2057"/>
      <c r="J6" s="2058"/>
      <c r="K6" s="2969"/>
      <c r="L6" s="2040" t="s">
        <v>2282</v>
      </c>
      <c r="M6" s="2041">
        <f>SUMPRODUCT((区片价!B110:B157=I2)*(区片价!C3:F3=E2)*(区片价!C110:F157))</f>
        <v>0</v>
      </c>
      <c r="N6" s="2042">
        <f>SUMPRODUCT((因素修正幅度!B110:B157=I2)*(因素修正幅度!C3:F3=E2)*(因素修正幅度!C110:F157))</f>
        <v>0</v>
      </c>
      <c r="O6" s="2968"/>
      <c r="P6" s="2968"/>
      <c r="Q6" s="2968"/>
      <c r="R6" s="2032">
        <v>5</v>
      </c>
      <c r="S6" s="2032">
        <f>ROUND(IF(G3&gt;1,IF(R6&lt;7,SUMPRODUCT((B93:B98=R6)*(C92:N92=G2)*(C93:N98)),SUMIF(C92:N92,G2,C100:N100)),IF(R6&lt;7,SUMPRODUCT((B102:B107=R6)*(C92:N92=G2)*(C102:N107)),SUMIF(C92:N92,G2,C109:N109))),4)</f>
        <v>0</v>
      </c>
      <c r="T6" s="2032">
        <f t="shared" si="1"/>
        <v>0</v>
      </c>
      <c r="U6" s="2043"/>
      <c r="V6" s="2032">
        <f t="shared" si="0"/>
        <v>0</v>
      </c>
      <c r="W6" s="2033"/>
      <c r="X6" s="2033"/>
      <c r="Y6" s="2033"/>
      <c r="Z6" s="2033"/>
      <c r="AA6" s="2033"/>
      <c r="AB6" s="2033"/>
      <c r="AC6" s="2050"/>
      <c r="AD6" s="2051"/>
      <c r="AE6" s="2051"/>
      <c r="AF6" s="2051"/>
      <c r="AG6" s="2051"/>
      <c r="AH6" s="2051"/>
      <c r="AI6" s="2051"/>
      <c r="AJ6" s="2052"/>
    </row>
    <row r="7" spans="1:36" ht="24">
      <c r="A7" s="3708" t="str">
        <f>IF(E2="商业",IF(C8="不临58条商业街","",2),"")</f>
        <v/>
      </c>
      <c r="B7" s="1535" t="s">
        <v>2283</v>
      </c>
      <c r="C7" s="2059" t="e">
        <f>IF(C8="不临58条商业街",1,ROUND(1+(1.6*E8+1.2*E9+0.8*E10+0.4*E11)*C9,4))</f>
        <v>#DIV/0!</v>
      </c>
      <c r="D7" s="2060" t="s">
        <v>2284</v>
      </c>
      <c r="E7" s="2061"/>
      <c r="F7" s="2062"/>
      <c r="G7" s="2062"/>
      <c r="H7" s="2062"/>
      <c r="I7" s="2062"/>
      <c r="J7" s="2063"/>
      <c r="K7" s="2969"/>
      <c r="L7" s="2040" t="s">
        <v>2285</v>
      </c>
      <c r="M7" s="2041">
        <f>SUMPRODUCT((区片价!B158:B205=I2)*(区片价!C3:F3=E2)*(区片价!C158:F205))</f>
        <v>0</v>
      </c>
      <c r="N7" s="2042">
        <f>SUMPRODUCT((因素修正幅度!B158:B205=I2)*(因素修正幅度!C3:F3=E2)*(因素修正幅度!C158:F205))</f>
        <v>0</v>
      </c>
      <c r="O7" s="2968"/>
      <c r="P7" s="2968"/>
      <c r="Q7" s="2968"/>
      <c r="R7" s="2032">
        <v>6</v>
      </c>
      <c r="S7" s="2032">
        <f>ROUND(IF(G3&gt;1,IF(R7&lt;7,SUMPRODUCT((B93:B98=R7)*(C92:N92=G2)*(C93:N98)),SUMIF(C92:N92,G2,C100:N100)),IF(R7&lt;7,SUMPRODUCT((B102:B107=R7)*(C92:N92=G2)*(C102:N107)),SUMIF(C92:N92,G2,C109:N109))),4)</f>
        <v>0</v>
      </c>
      <c r="T7" s="2032">
        <f t="shared" si="1"/>
        <v>0</v>
      </c>
      <c r="U7" s="2043"/>
      <c r="V7" s="2032">
        <f t="shared" si="0"/>
        <v>0</v>
      </c>
      <c r="W7" s="2064" t="s">
        <v>2286</v>
      </c>
      <c r="X7" s="2065">
        <f>G2</f>
        <v>0</v>
      </c>
      <c r="Y7" s="2065" t="s">
        <v>2287</v>
      </c>
      <c r="Z7" s="2066">
        <f>G3</f>
        <v>4.08</v>
      </c>
      <c r="AA7" s="2033"/>
      <c r="AB7" s="2033"/>
      <c r="AC7" s="2033"/>
      <c r="AD7" s="2034"/>
      <c r="AE7" s="2034"/>
      <c r="AF7" s="2034"/>
      <c r="AG7" s="2034"/>
      <c r="AH7" s="2034"/>
      <c r="AI7" s="2034"/>
      <c r="AJ7" s="2035"/>
    </row>
    <row r="8" spans="1:36" ht="15">
      <c r="A8" s="3709"/>
      <c r="B8" s="50" t="s">
        <v>2288</v>
      </c>
      <c r="C8" s="2067"/>
      <c r="D8" s="65" t="s">
        <v>89</v>
      </c>
      <c r="E8" s="2068" t="e">
        <f>ROUND(C11/E7,4)</f>
        <v>#DIV/0!</v>
      </c>
      <c r="F8" s="2069" t="s">
        <v>2289</v>
      </c>
      <c r="G8" s="2070"/>
      <c r="H8" s="2070"/>
      <c r="I8" s="2070"/>
      <c r="J8" s="2071"/>
      <c r="K8" s="2968"/>
      <c r="L8" s="2040" t="s">
        <v>2290</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02" t="s">
        <v>2291</v>
      </c>
      <c r="X8" s="3703"/>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709"/>
      <c r="B9" s="50" t="s">
        <v>2304</v>
      </c>
      <c r="C9" s="2073">
        <f>SUMIF(修正!C71:C138,C8,修正!E71:E138)</f>
        <v>0</v>
      </c>
      <c r="D9" s="50" t="s">
        <v>90</v>
      </c>
      <c r="E9" s="50" t="e">
        <f>ROUND(C11/E7,4)</f>
        <v>#DIV/0!</v>
      </c>
      <c r="F9" s="2069" t="s">
        <v>2305</v>
      </c>
      <c r="G9" s="2070"/>
      <c r="H9" s="2070"/>
      <c r="I9" s="2070"/>
      <c r="J9" s="2071"/>
      <c r="K9" s="2968"/>
      <c r="L9" s="2040" t="s">
        <v>2306</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03"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9"/>
      <c r="B10" s="50" t="s">
        <v>2309</v>
      </c>
      <c r="C10" s="50">
        <f>SUMIF(修正!C71:C138,C8,修正!F71:F138)</f>
        <v>0</v>
      </c>
      <c r="D10" s="50" t="s">
        <v>91</v>
      </c>
      <c r="E10" s="50" t="e">
        <f>ROUND(C11/E7,4)</f>
        <v>#DIV/0!</v>
      </c>
      <c r="F10" s="2069" t="s">
        <v>2310</v>
      </c>
      <c r="G10" s="2070"/>
      <c r="H10" s="2070"/>
      <c r="I10" s="2070"/>
      <c r="J10" s="2071"/>
      <c r="K10" s="2968"/>
      <c r="L10" s="2040" t="s">
        <v>2311</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03"/>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9"/>
      <c r="B11" s="1536" t="s">
        <v>2312</v>
      </c>
      <c r="C11" s="1536">
        <f>C10/4</f>
        <v>0</v>
      </c>
      <c r="D11" s="1536" t="s">
        <v>92</v>
      </c>
      <c r="E11" s="1536" t="e">
        <f>ROUND(C11/E7,4)</f>
        <v>#DIV/0!</v>
      </c>
      <c r="F11" s="2078" t="s">
        <v>2313</v>
      </c>
      <c r="G11" s="2079"/>
      <c r="H11" s="2079"/>
      <c r="I11" s="2079"/>
      <c r="J11" s="2080"/>
      <c r="K11" s="2968"/>
      <c r="L11" s="2040" t="s">
        <v>2314</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03" t="s">
        <v>2315</v>
      </c>
      <c r="X11" s="2081" t="s">
        <v>2316</v>
      </c>
      <c r="Y11" s="2082">
        <f>$G$3</f>
        <v>4.08</v>
      </c>
      <c r="Z11" s="2082">
        <f t="shared" ref="Z11:AJ11" si="4">$G$3</f>
        <v>4.08</v>
      </c>
      <c r="AA11" s="2082">
        <f t="shared" si="4"/>
        <v>4.08</v>
      </c>
      <c r="AB11" s="2082">
        <f t="shared" si="4"/>
        <v>4.08</v>
      </c>
      <c r="AC11" s="2082">
        <f t="shared" si="4"/>
        <v>4.08</v>
      </c>
      <c r="AD11" s="2082">
        <f t="shared" si="4"/>
        <v>4.08</v>
      </c>
      <c r="AE11" s="2082">
        <f t="shared" si="4"/>
        <v>4.08</v>
      </c>
      <c r="AF11" s="2082">
        <f t="shared" si="4"/>
        <v>4.08</v>
      </c>
      <c r="AG11" s="2082">
        <f t="shared" si="4"/>
        <v>4.08</v>
      </c>
      <c r="AH11" s="2082">
        <f t="shared" si="4"/>
        <v>4.08</v>
      </c>
      <c r="AI11" s="2082">
        <f t="shared" si="4"/>
        <v>4.08</v>
      </c>
      <c r="AJ11" s="2082">
        <f t="shared" si="4"/>
        <v>4.08</v>
      </c>
    </row>
    <row r="12" spans="1:36" ht="25.5" thickBot="1">
      <c r="A12" s="3708">
        <f>IF(E2="住宅",2,"")</f>
        <v>2</v>
      </c>
      <c r="B12" s="1537" t="s">
        <v>2317</v>
      </c>
      <c r="C12" s="2059">
        <f>ROUND(C15*D15*E15*F15*G15*H15*I15*J15,4)</f>
        <v>1.32</v>
      </c>
      <c r="D12" s="2083" t="s">
        <v>2318</v>
      </c>
      <c r="E12" s="2084"/>
      <c r="F12" s="2084"/>
      <c r="G12" s="2084"/>
      <c r="H12" s="2084"/>
      <c r="I12" s="2084"/>
      <c r="J12" s="2085"/>
      <c r="K12" s="2968"/>
      <c r="L12" s="2086" t="s">
        <v>2319</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03"/>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0"/>
      <c r="B13" s="1538" t="s">
        <v>2321</v>
      </c>
      <c r="C13" s="2090" t="s">
        <v>2322</v>
      </c>
      <c r="D13" s="1539" t="s">
        <v>2323</v>
      </c>
      <c r="E13" s="1539" t="s">
        <v>2324</v>
      </c>
      <c r="F13" s="264" t="s">
        <v>2325</v>
      </c>
      <c r="G13" s="2091" t="s">
        <v>2326</v>
      </c>
      <c r="H13" s="2091" t="s">
        <v>2326</v>
      </c>
      <c r="I13" s="2091" t="s">
        <v>2326</v>
      </c>
      <c r="J13" s="2092" t="s">
        <v>2326</v>
      </c>
      <c r="K13" s="2968"/>
      <c r="L13" s="2968"/>
      <c r="M13" s="2968"/>
      <c r="N13" s="2968"/>
      <c r="O13" s="2968"/>
      <c r="P13" s="2968"/>
      <c r="Q13" s="2968"/>
      <c r="R13" s="2032">
        <v>12</v>
      </c>
      <c r="S13" s="2043"/>
      <c r="T13" s="2032">
        <f t="shared" si="1"/>
        <v>0</v>
      </c>
      <c r="U13" s="2043"/>
      <c r="V13" s="2032">
        <f t="shared" si="2"/>
        <v>0</v>
      </c>
      <c r="W13" s="3703"/>
      <c r="X13" s="2089"/>
      <c r="Y13" s="2077">
        <f>(-0.163*(Y12^2)-0.59*Y12+7617)*(10^(-4))/Y11</f>
        <v>0.18669117647058825</v>
      </c>
      <c r="Z13" s="2077">
        <f t="shared" ref="Z13:AJ13" si="6">(-0.163*(Z12^2)-0.59*Z12+7617)*(10^(-4))/Z11</f>
        <v>0.18669117647058825</v>
      </c>
      <c r="AA13" s="2077">
        <f t="shared" si="6"/>
        <v>0.18669117647058825</v>
      </c>
      <c r="AB13" s="2077">
        <f t="shared" si="6"/>
        <v>0.18669117647058825</v>
      </c>
      <c r="AC13" s="2077">
        <f t="shared" si="6"/>
        <v>0.18669117647058825</v>
      </c>
      <c r="AD13" s="2077">
        <f t="shared" si="6"/>
        <v>0.18669117647058825</v>
      </c>
      <c r="AE13" s="2077">
        <f t="shared" si="6"/>
        <v>0.18669117647058825</v>
      </c>
      <c r="AF13" s="2077">
        <f t="shared" si="6"/>
        <v>0.18669117647058825</v>
      </c>
      <c r="AG13" s="2077">
        <f t="shared" si="6"/>
        <v>0.18669117647058825</v>
      </c>
      <c r="AH13" s="2077">
        <f t="shared" si="6"/>
        <v>0.18669117647058825</v>
      </c>
      <c r="AI13" s="2077">
        <f t="shared" si="6"/>
        <v>0.18669117647058825</v>
      </c>
      <c r="AJ13" s="2077">
        <f t="shared" si="6"/>
        <v>0.18669117647058825</v>
      </c>
    </row>
    <row r="14" spans="1:36" ht="15">
      <c r="A14" s="3710"/>
      <c r="B14" s="1539"/>
      <c r="C14" s="2093" t="s">
        <v>2327</v>
      </c>
      <c r="D14" s="2094" t="s">
        <v>2328</v>
      </c>
      <c r="E14" s="2094" t="s">
        <v>2328</v>
      </c>
      <c r="F14" s="2095" t="s">
        <v>2329</v>
      </c>
      <c r="G14" s="2096" t="s">
        <v>2330</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11"/>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7">
        <f>IF(E2="办公",2,IF(E2="工业",2,IF(E2="住宅",3,IF(E2="商业",IF(C8="不临58条商业街",2,3)))))</f>
        <v>3</v>
      </c>
      <c r="B16" s="1559" t="s">
        <v>2337</v>
      </c>
      <c r="C16" s="1535">
        <f>ROUND(IF(F17="与级别开发程度一致",0,(G17-E17)/C17),0)</f>
        <v>0</v>
      </c>
      <c r="D16" s="3700" t="s">
        <v>2341</v>
      </c>
      <c r="E16" s="3701"/>
      <c r="F16" s="3700" t="s">
        <v>2338</v>
      </c>
      <c r="G16" s="3701"/>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8"/>
      <c r="B17" s="1560" t="s">
        <v>2340</v>
      </c>
      <c r="C17" s="2106">
        <f>SUMPRODUCT((修正!A2:A7=E2)*(修正!B1:M1=G2)*(修正!B2:M7))</f>
        <v>0</v>
      </c>
      <c r="D17" s="2100" t="str">
        <f>IF(OR(G2="八级",G2="九级",G2="十级",G2="十一级",G2="十二级"),"五通一平","七通一平")</f>
        <v>七通一平</v>
      </c>
      <c r="E17" s="2107">
        <f>SUMPRODUCT((修正!B1:M1=G2)*(修正!B17:M17))</f>
        <v>0</v>
      </c>
      <c r="F17" s="2108" t="s">
        <v>2645</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2343</v>
      </c>
      <c r="B18" s="1558" t="s">
        <v>2344</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2345</v>
      </c>
      <c r="B19" s="1541" t="s">
        <v>2346</v>
      </c>
      <c r="C19" s="2117">
        <f>ROUND(IF(H19="按公示增长率计算",SUMPRODUCT((地价!A3:A41=YEAR(G19)&amp;"-"&amp;ROUNDUP(MONTH(G19)/3,0))*(地价!X2:AB2=E2)*(地价!X3:AB41)),IF(H19="地价指数",M20/M19,(1+I19)^O19)),4)</f>
        <v>1.7434000000000001</v>
      </c>
      <c r="D19" s="2118" t="s">
        <v>2347</v>
      </c>
      <c r="E19" s="2119">
        <v>41640</v>
      </c>
      <c r="F19" s="2118" t="s">
        <v>2348</v>
      </c>
      <c r="G19" s="2120">
        <f>'数据-取费表'!B2</f>
        <v>44676</v>
      </c>
      <c r="H19" s="2121" t="s">
        <v>2483</v>
      </c>
      <c r="I19" s="2122" t="str">
        <f>IF(H19="季度增幅（自定义）",SUMIF(N21:N24,E2,O21:O24),"")</f>
        <v/>
      </c>
      <c r="J19" s="2123"/>
      <c r="K19" s="2970"/>
      <c r="L19" s="2004" t="s">
        <v>2349</v>
      </c>
      <c r="M19" s="2124">
        <f>ROUND(SUMIF(地价!B2:F2,E2,地价!B41:F41),0)</f>
        <v>423</v>
      </c>
      <c r="N19" s="2125" t="s">
        <v>2350</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2351</v>
      </c>
      <c r="B20" s="1542" t="s">
        <v>2352</v>
      </c>
      <c r="C20" s="2129">
        <f>ROUND(POWER(1+G20,J20-I20)*(POWER(1+G20,I20)-1)/(POWER(1+G20,J20)-1),4)</f>
        <v>0.79469999999999996</v>
      </c>
      <c r="D20" s="2130" t="s">
        <v>2353</v>
      </c>
      <c r="E20" s="3072">
        <f>存贷款利率!E20/100</f>
        <v>4.3499999999999997E-2</v>
      </c>
      <c r="F20" s="2130" t="s">
        <v>2342</v>
      </c>
      <c r="G20" s="3073">
        <f>SUMIF(M26:P26,E2,M28:P28)</f>
        <v>0.05</v>
      </c>
      <c r="H20" s="2130" t="s">
        <v>2354</v>
      </c>
      <c r="I20" s="2131">
        <f>'数据-取费表'!B13</f>
        <v>30</v>
      </c>
      <c r="J20" s="2132">
        <f>IF(E2="住宅",70,IF(E2="商业",40,50))</f>
        <v>70</v>
      </c>
      <c r="K20" s="2970"/>
      <c r="L20" s="2133" t="s">
        <v>2355</v>
      </c>
      <c r="M20" s="2134">
        <f>ROUND(SUMPRODUCT((地价!A4:A41=YEAR(G19)&amp;"-"&amp;ROUNDUP(MONTH(G19)/3,0))*(地价!B2:F2=E2)*(地价!B4:F41)),0)</f>
        <v>737</v>
      </c>
      <c r="N20" s="2135" t="s">
        <v>2356</v>
      </c>
      <c r="O20" s="2136" t="s">
        <v>2357</v>
      </c>
      <c r="P20" s="2137" t="s">
        <v>2358</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2359</v>
      </c>
      <c r="B21" s="1543" t="s">
        <v>2360</v>
      </c>
      <c r="C21" s="2139">
        <f>IF(B21="容积率修正",IF(G3&lt;=10,D22,J22),C23)</f>
        <v>0</v>
      </c>
      <c r="D21" s="2140"/>
      <c r="E21" s="2140"/>
      <c r="F21" s="2140"/>
      <c r="G21" s="2140"/>
      <c r="H21" s="2140"/>
      <c r="I21" s="2140"/>
      <c r="J21" s="2005"/>
      <c r="K21" s="2970"/>
      <c r="L21" s="2970"/>
      <c r="M21" s="2970"/>
      <c r="N21" s="2141" t="s">
        <v>2361</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2362</v>
      </c>
      <c r="C22" s="2000" t="s">
        <v>2363</v>
      </c>
      <c r="D22" s="2000">
        <f>IF(E22=G22,F22,IF(G3&lt;=10,ROUND(F22+(H22-F22)*(G3-E22)/(G22-E22),4),"——"))</f>
        <v>0</v>
      </c>
      <c r="E22" s="2044">
        <f>ROUNDDOWN(G3,1)</f>
        <v>4</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4.0999999999999996</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2364</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2365</v>
      </c>
      <c r="C23" s="2145">
        <f>ROUND(IF(G3&gt;1,IF(I3&lt;7,SUMPRODUCT((B93:B98=I3)*(C92:N92=G2)*(C93:N98)),SUMIF(C92:N92,G2,C100:N100)),IF(I3&lt;7,SUMPRODUCT((B102:B107=I3)*(C92:N92=G2)*(C102:N107)),SUMIF(C92:N92,G2,C109:N109))),4)</f>
        <v>0</v>
      </c>
      <c r="D23" s="2097"/>
      <c r="E23" s="2097"/>
      <c r="F23" s="2146"/>
      <c r="G23" s="2147"/>
      <c r="H23" s="1548"/>
      <c r="I23" s="2000"/>
      <c r="J23" s="2144"/>
      <c r="K23" s="2968"/>
      <c r="L23" s="2968"/>
      <c r="M23" s="2968"/>
      <c r="N23" s="2141" t="s">
        <v>2366</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2367</v>
      </c>
      <c r="B24" s="1545" t="s">
        <v>2368</v>
      </c>
      <c r="C24" s="2149">
        <f>SUMIF(A46:A88,E2,B46:B88)</f>
        <v>1</v>
      </c>
      <c r="D24" s="2150"/>
      <c r="E24" s="2151"/>
      <c r="F24" s="2151"/>
      <c r="G24" s="2151"/>
      <c r="H24" s="2151"/>
      <c r="I24" s="2151"/>
      <c r="J24" s="2152"/>
      <c r="K24" s="2970"/>
      <c r="L24" s="2970"/>
      <c r="M24" s="2970"/>
      <c r="N24" s="2153" t="s">
        <v>2369</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8"/>
      <c r="L25" s="2968"/>
      <c r="M25" s="2968"/>
      <c r="N25" s="2971" t="s">
        <v>2372</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5">
      <c r="A26" s="1631"/>
      <c r="B26" s="2000" t="s">
        <v>2373</v>
      </c>
      <c r="C26" s="2808" t="e">
        <f>IF(B21="容积率修正",E29+SUM(E33:E39),SUM(V2:V16)+SUM(E33:E39))</f>
        <v>#REF!</v>
      </c>
      <c r="D26" s="2158"/>
      <c r="E26" s="2097"/>
      <c r="F26" s="1406"/>
      <c r="G26" s="2097"/>
      <c r="H26" s="2097"/>
      <c r="I26" s="2097"/>
      <c r="J26" s="2159"/>
      <c r="K26" s="2968"/>
      <c r="L26" s="2974" t="s">
        <v>2332</v>
      </c>
      <c r="M26" s="2060" t="s">
        <v>2333</v>
      </c>
      <c r="N26" s="2060" t="s">
        <v>2334</v>
      </c>
      <c r="O26" s="2060" t="s">
        <v>2335</v>
      </c>
      <c r="P26" s="2975" t="s">
        <v>2336</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2374</v>
      </c>
      <c r="C27" s="2160" t="e">
        <f>E30+SUM(I33:I39)</f>
        <v>#REF!</v>
      </c>
      <c r="D27" s="2109"/>
      <c r="E27" s="2161"/>
      <c r="F27" s="2162"/>
      <c r="G27" s="2161"/>
      <c r="H27" s="2161"/>
      <c r="I27" s="2161"/>
      <c r="J27" s="2163"/>
      <c r="K27" s="2968"/>
      <c r="L27" s="2164" t="s">
        <v>2339</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2375</v>
      </c>
      <c r="C28" s="2167" t="s">
        <v>2376</v>
      </c>
      <c r="D28" s="2167" t="s">
        <v>2377</v>
      </c>
      <c r="E28" s="1546" t="s">
        <v>2378</v>
      </c>
      <c r="F28" s="2168"/>
      <c r="G28" s="2084"/>
      <c r="H28" s="2084"/>
      <c r="I28" s="2084"/>
      <c r="J28" s="2085"/>
      <c r="K28" s="2968"/>
      <c r="L28" s="2169" t="s">
        <v>2342</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2379</v>
      </c>
      <c r="C29" s="54">
        <f>ROUND(C5*C18*C19*C20*C21*C24,0)</f>
        <v>0</v>
      </c>
      <c r="D29" s="2172">
        <f>项目基本情况!C12</f>
        <v>176.29</v>
      </c>
      <c r="E29" s="1959">
        <f>ROUND(C29*D29,0)</f>
        <v>0</v>
      </c>
      <c r="F29" s="2173" t="s">
        <v>2380</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2381</v>
      </c>
      <c r="C30" s="2100">
        <f>ROUND(IF(E2="工业",C29*M39,C29*M38),0)</f>
        <v>0</v>
      </c>
      <c r="D30" s="2177"/>
      <c r="E30" s="1959">
        <f>ROUND(C30*D30,0)</f>
        <v>0</v>
      </c>
      <c r="F30" s="2178" t="s">
        <v>2382</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2376</v>
      </c>
      <c r="D32" s="1736" t="s">
        <v>2377</v>
      </c>
      <c r="E32" s="1736" t="s">
        <v>2378</v>
      </c>
      <c r="F32" s="50" t="s">
        <v>2386</v>
      </c>
      <c r="G32" s="2145" t="s">
        <v>2376</v>
      </c>
      <c r="H32" s="2145" t="s">
        <v>2377</v>
      </c>
      <c r="I32" s="2145" t="s">
        <v>2378</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7" t="s">
        <v>2387</v>
      </c>
      <c r="B33" s="2185" t="s">
        <v>2388</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8"/>
      <c r="B34" s="2090" t="s">
        <v>2389</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8"/>
      <c r="B35" s="2090" t="s">
        <v>2390</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9"/>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2393</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2395</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2396</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2336</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2397</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2398</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2413</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2414</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2418</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2421</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2422</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2423</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2424</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2428</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2414</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2418</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2421</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2422</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2423</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2429</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2430</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2414</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2431</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2421</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2422</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2423</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2433</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6"/>
      <c r="R80" s="2976"/>
      <c r="S80" s="2976"/>
      <c r="T80" s="2976"/>
      <c r="U80" s="2976"/>
      <c r="V80" s="2976"/>
      <c r="W80" s="2976"/>
      <c r="AA80" s="1552"/>
      <c r="AG80" s="2193"/>
    </row>
    <row r="81" spans="1:33" ht="38.25">
      <c r="A81" s="2206" t="s">
        <v>2434</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2414</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2421</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2422</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2435</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9" t="s">
        <v>2436</v>
      </c>
      <c r="B90" s="3689"/>
      <c r="C90" s="3689"/>
      <c r="D90" s="3689"/>
      <c r="E90" s="3689"/>
      <c r="F90" s="3689"/>
      <c r="G90" s="3689"/>
      <c r="H90" s="3689"/>
      <c r="I90" s="3689"/>
      <c r="J90" s="3689"/>
      <c r="K90" s="2234"/>
      <c r="L90" s="2234"/>
      <c r="M90" s="2234"/>
      <c r="N90" s="2234"/>
      <c r="Q90" s="2976"/>
      <c r="R90" s="2976"/>
      <c r="S90" s="2976"/>
      <c r="T90" s="2976"/>
      <c r="U90" s="2976"/>
      <c r="V90" s="2976"/>
      <c r="W90" s="2976"/>
    </row>
    <row r="91" spans="1:33">
      <c r="A91" s="3691" t="s">
        <v>2437</v>
      </c>
      <c r="B91" s="3691" t="s">
        <v>2438</v>
      </c>
      <c r="C91" s="2173" t="s">
        <v>2439</v>
      </c>
      <c r="D91" s="2174"/>
      <c r="E91" s="2174"/>
      <c r="F91" s="2174"/>
      <c r="G91" s="2174"/>
      <c r="H91" s="2174"/>
      <c r="I91" s="2174"/>
      <c r="J91" s="2236"/>
      <c r="K91" s="1996"/>
      <c r="L91" s="1996"/>
      <c r="M91" s="1996"/>
      <c r="N91" s="1996"/>
      <c r="Q91" s="2976"/>
      <c r="R91" s="2976"/>
      <c r="S91" s="2976"/>
      <c r="T91" s="2976"/>
      <c r="U91" s="2976"/>
      <c r="V91" s="2976"/>
      <c r="W91" s="2976"/>
    </row>
    <row r="92" spans="1:33">
      <c r="A92" s="3691"/>
      <c r="B92" s="3691"/>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6"/>
      <c r="R92" s="2976"/>
      <c r="S92" s="2976"/>
      <c r="T92" s="2976"/>
      <c r="U92" s="2976"/>
      <c r="V92" s="2976"/>
      <c r="W92" s="2976"/>
    </row>
    <row r="93" spans="1:33">
      <c r="A93" s="3692"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3"/>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3"/>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3"/>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3"/>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3"/>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3"/>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4"/>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2" t="s">
        <v>2441</v>
      </c>
      <c r="B101" s="2241" t="s">
        <v>2442</v>
      </c>
      <c r="C101" s="2242">
        <f>$G$3</f>
        <v>4.08</v>
      </c>
      <c r="D101" s="2242">
        <f t="shared" ref="D101:N101" si="32">$G$3</f>
        <v>4.08</v>
      </c>
      <c r="E101" s="2242">
        <f t="shared" si="32"/>
        <v>4.08</v>
      </c>
      <c r="F101" s="2242">
        <f t="shared" si="32"/>
        <v>4.08</v>
      </c>
      <c r="G101" s="2242">
        <f t="shared" si="32"/>
        <v>4.08</v>
      </c>
      <c r="H101" s="2242">
        <f t="shared" si="32"/>
        <v>4.08</v>
      </c>
      <c r="I101" s="2242">
        <f t="shared" si="32"/>
        <v>4.08</v>
      </c>
      <c r="J101" s="2242">
        <f t="shared" si="32"/>
        <v>4.08</v>
      </c>
      <c r="K101" s="2242">
        <f t="shared" si="32"/>
        <v>4.08</v>
      </c>
      <c r="L101" s="2242">
        <f t="shared" si="32"/>
        <v>4.08</v>
      </c>
      <c r="M101" s="2242">
        <f t="shared" si="32"/>
        <v>4.08</v>
      </c>
      <c r="N101" s="2242">
        <f t="shared" si="32"/>
        <v>4.08</v>
      </c>
      <c r="Q101" s="2976"/>
      <c r="R101" s="2976"/>
      <c r="S101" s="2976"/>
      <c r="T101" s="2976"/>
      <c r="U101" s="2976"/>
      <c r="V101" s="2976"/>
      <c r="W101" s="2976"/>
    </row>
    <row r="102" spans="1:23">
      <c r="A102" s="3693"/>
      <c r="B102" s="2237">
        <v>1</v>
      </c>
      <c r="C102" s="2238">
        <f>1.9362/C101</f>
        <v>0.47455882352941176</v>
      </c>
      <c r="D102" s="2238">
        <f>1.9362/D101</f>
        <v>0.47455882352941176</v>
      </c>
      <c r="E102" s="2238">
        <f>1.8629/E101</f>
        <v>0.45659313725490197</v>
      </c>
      <c r="F102" s="2238">
        <f>1.8629/F101</f>
        <v>0.45659313725490197</v>
      </c>
      <c r="G102" s="2238">
        <f>1.8629/G101</f>
        <v>0.45659313725490197</v>
      </c>
      <c r="H102" s="2238">
        <f>1.8629/H101</f>
        <v>0.45659313725490197</v>
      </c>
      <c r="I102" s="2238">
        <f>1.8629/I101</f>
        <v>0.45659313725490197</v>
      </c>
      <c r="J102" s="2238">
        <f>1.942/J101</f>
        <v>0.47598039215686272</v>
      </c>
      <c r="K102" s="2238">
        <f>1.942/K101</f>
        <v>0.47598039215686272</v>
      </c>
      <c r="L102" s="2238">
        <f>1.942/L101</f>
        <v>0.47598039215686272</v>
      </c>
      <c r="M102" s="2238">
        <f>1.942/M101</f>
        <v>0.47598039215686272</v>
      </c>
      <c r="N102" s="2238">
        <f>1.942/N101</f>
        <v>0.47598039215686272</v>
      </c>
      <c r="Q102" s="2976"/>
      <c r="R102" s="2976"/>
      <c r="S102" s="2976"/>
      <c r="T102" s="2976"/>
      <c r="U102" s="2976"/>
      <c r="V102" s="2976"/>
      <c r="W102" s="2976"/>
    </row>
    <row r="103" spans="1:23">
      <c r="A103" s="3693"/>
      <c r="B103" s="2237">
        <v>2</v>
      </c>
      <c r="C103" s="2238">
        <f>1.4198/C101</f>
        <v>0.34799019607843135</v>
      </c>
      <c r="D103" s="2238">
        <f>1.4198/D101</f>
        <v>0.34799019607843135</v>
      </c>
      <c r="E103" s="2238">
        <f>1.3372/E101</f>
        <v>0.32774509803921564</v>
      </c>
      <c r="F103" s="2238">
        <f>1.3372/F101</f>
        <v>0.32774509803921564</v>
      </c>
      <c r="G103" s="2238">
        <f>1.3372/G101</f>
        <v>0.32774509803921564</v>
      </c>
      <c r="H103" s="2238">
        <f>1.3372/H101</f>
        <v>0.32774509803921564</v>
      </c>
      <c r="I103" s="2238">
        <f>1.3372/I101</f>
        <v>0.32774509803921564</v>
      </c>
      <c r="J103" s="2238">
        <f>1.2799/J101</f>
        <v>0.31370098039215688</v>
      </c>
      <c r="K103" s="2238">
        <f>1.2799/K101</f>
        <v>0.31370098039215688</v>
      </c>
      <c r="L103" s="2238">
        <f>1.2799/L101</f>
        <v>0.31370098039215688</v>
      </c>
      <c r="M103" s="2238">
        <f>1.2799/M101</f>
        <v>0.31370098039215688</v>
      </c>
      <c r="N103" s="2238">
        <f>1.2799/N101</f>
        <v>0.31370098039215688</v>
      </c>
      <c r="Q103" s="2976"/>
      <c r="R103" s="2976"/>
      <c r="S103" s="2976"/>
      <c r="T103" s="2976"/>
      <c r="U103" s="2976"/>
      <c r="V103" s="2976"/>
      <c r="W103" s="2976"/>
    </row>
    <row r="104" spans="1:23">
      <c r="A104" s="3693"/>
      <c r="B104" s="2237">
        <v>3</v>
      </c>
      <c r="C104" s="2238">
        <f>1.1594/C101</f>
        <v>0.28416666666666668</v>
      </c>
      <c r="D104" s="2238">
        <f>1.1594/D101</f>
        <v>0.28416666666666668</v>
      </c>
      <c r="E104" s="2238">
        <f>1.0788/E101</f>
        <v>0.26441176470588235</v>
      </c>
      <c r="F104" s="2238">
        <f>1.0788/F101</f>
        <v>0.26441176470588235</v>
      </c>
      <c r="G104" s="2238">
        <f>1.0788/G101</f>
        <v>0.26441176470588235</v>
      </c>
      <c r="H104" s="2238">
        <f>1.0788/H101</f>
        <v>0.26441176470588235</v>
      </c>
      <c r="I104" s="2238">
        <f>1.0788/I101</f>
        <v>0.26441176470588235</v>
      </c>
      <c r="J104" s="2238">
        <f>1.0072/J101</f>
        <v>0.24686274509803924</v>
      </c>
      <c r="K104" s="2238">
        <f>1.0072/K101</f>
        <v>0.24686274509803924</v>
      </c>
      <c r="L104" s="2238">
        <f>1.0072/L101</f>
        <v>0.24686274509803924</v>
      </c>
      <c r="M104" s="2238">
        <f>1.0072/M101</f>
        <v>0.24686274509803924</v>
      </c>
      <c r="N104" s="2238">
        <f>1.0072/N101</f>
        <v>0.24686274509803924</v>
      </c>
      <c r="Q104" s="2976"/>
      <c r="R104" s="2976"/>
      <c r="S104" s="2976"/>
      <c r="T104" s="2976"/>
      <c r="U104" s="2976"/>
      <c r="V104" s="2976"/>
      <c r="W104" s="2976"/>
    </row>
    <row r="105" spans="1:23">
      <c r="A105" s="3693"/>
      <c r="B105" s="2237">
        <v>4</v>
      </c>
      <c r="C105" s="2238">
        <f>0.9622/C101</f>
        <v>0.23583333333333334</v>
      </c>
      <c r="D105" s="2238">
        <f>0.9622/D101</f>
        <v>0.23583333333333334</v>
      </c>
      <c r="E105" s="2238">
        <f>0.8656/E101</f>
        <v>0.21215686274509804</v>
      </c>
      <c r="F105" s="2238">
        <f>0.8656/F101</f>
        <v>0.21215686274509804</v>
      </c>
      <c r="G105" s="2238">
        <f>0.8656/G101</f>
        <v>0.21215686274509804</v>
      </c>
      <c r="H105" s="2238">
        <f>0.8656/H101</f>
        <v>0.21215686274509804</v>
      </c>
      <c r="I105" s="2238">
        <f>0.8656/I101</f>
        <v>0.21215686274509804</v>
      </c>
      <c r="J105" s="2238">
        <f>0.7525/J101</f>
        <v>0.1844362745098039</v>
      </c>
      <c r="K105" s="2238">
        <f>0.7525/K101</f>
        <v>0.1844362745098039</v>
      </c>
      <c r="L105" s="2238">
        <f>0.7525/L101</f>
        <v>0.1844362745098039</v>
      </c>
      <c r="M105" s="2238">
        <f>0.7525/M101</f>
        <v>0.1844362745098039</v>
      </c>
      <c r="N105" s="2238">
        <f>0.7525/N101</f>
        <v>0.1844362745098039</v>
      </c>
      <c r="Q105" s="2976"/>
      <c r="R105" s="2976"/>
      <c r="S105" s="2976"/>
      <c r="T105" s="2976"/>
      <c r="U105" s="2976"/>
      <c r="V105" s="2976"/>
      <c r="W105" s="2976"/>
    </row>
    <row r="106" spans="1:23">
      <c r="A106" s="3693"/>
      <c r="B106" s="2237">
        <v>5</v>
      </c>
      <c r="C106" s="2238">
        <f>0.8417/C101</f>
        <v>0.20629901960784314</v>
      </c>
      <c r="D106" s="2238">
        <f>0.8417/D101</f>
        <v>0.20629901960784314</v>
      </c>
      <c r="E106" s="2238">
        <f>0.7371/E101</f>
        <v>0.18066176470588236</v>
      </c>
      <c r="F106" s="2238">
        <f>0.7371/F101</f>
        <v>0.18066176470588236</v>
      </c>
      <c r="G106" s="2238">
        <f>0.7371/G101</f>
        <v>0.18066176470588236</v>
      </c>
      <c r="H106" s="2238">
        <f>0.7371/H101</f>
        <v>0.18066176470588236</v>
      </c>
      <c r="I106" s="2238">
        <f>0.7371/I101</f>
        <v>0.18066176470588236</v>
      </c>
      <c r="J106" s="2238">
        <f>0.5659/J101</f>
        <v>0.13870098039215686</v>
      </c>
      <c r="K106" s="2238">
        <f>0.5659/K101</f>
        <v>0.13870098039215686</v>
      </c>
      <c r="L106" s="2238">
        <f>0.5659/L101</f>
        <v>0.13870098039215686</v>
      </c>
      <c r="M106" s="2238">
        <f>0.5659/M101</f>
        <v>0.13870098039215686</v>
      </c>
      <c r="N106" s="2238">
        <f>0.5659/N101</f>
        <v>0.13870098039215686</v>
      </c>
      <c r="Q106" s="2976"/>
      <c r="R106" s="2976"/>
      <c r="S106" s="2976"/>
      <c r="T106" s="2976"/>
      <c r="U106" s="2976"/>
      <c r="V106" s="2976"/>
      <c r="W106" s="2976"/>
    </row>
    <row r="107" spans="1:23">
      <c r="A107" s="3693"/>
      <c r="B107" s="2237">
        <v>6</v>
      </c>
      <c r="C107" s="2238">
        <f>0.7608/C101</f>
        <v>0.18647058823529411</v>
      </c>
      <c r="D107" s="2238">
        <f>0.7608/D101</f>
        <v>0.18647058823529411</v>
      </c>
      <c r="E107" s="2238">
        <f>0.6482/E101</f>
        <v>0.15887254901960784</v>
      </c>
      <c r="F107" s="2238">
        <f>0.6482/F101</f>
        <v>0.15887254901960784</v>
      </c>
      <c r="G107" s="2238">
        <f>0.6482/G101</f>
        <v>0.15887254901960784</v>
      </c>
      <c r="H107" s="2238">
        <f>0.6482/H101</f>
        <v>0.15887254901960784</v>
      </c>
      <c r="I107" s="2238">
        <f>0.6482/I101</f>
        <v>0.15887254901960784</v>
      </c>
      <c r="J107" s="2238">
        <f>0.4525/J101</f>
        <v>0.11090686274509803</v>
      </c>
      <c r="K107" s="2238">
        <f>0.4525/K101</f>
        <v>0.11090686274509803</v>
      </c>
      <c r="L107" s="2238">
        <f>0.4525/L101</f>
        <v>0.11090686274509803</v>
      </c>
      <c r="M107" s="2238">
        <f>0.4525/M101</f>
        <v>0.11090686274509803</v>
      </c>
      <c r="N107" s="2238">
        <f>0.4525/N101</f>
        <v>0.11090686274509803</v>
      </c>
      <c r="Q107" s="2976"/>
      <c r="R107" s="2976"/>
      <c r="S107" s="2976"/>
      <c r="T107" s="2976"/>
      <c r="U107" s="2976"/>
      <c r="V107" s="2976"/>
      <c r="W107" s="2976"/>
    </row>
    <row r="108" spans="1:23">
      <c r="A108" s="3693"/>
      <c r="B108" s="3695"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4"/>
      <c r="B109" s="3696"/>
      <c r="C109" s="2240">
        <f>(-0.163*(C108^2)-0.59*C108+7617)*(10^(-4))/C101</f>
        <v>0.18669117647058825</v>
      </c>
      <c r="D109" s="2240">
        <f>(-0.163*(D108^2)-0.59*D108+7617)*(10^(-4))/D101</f>
        <v>0.18669117647058825</v>
      </c>
      <c r="E109" s="2240">
        <f>(-0.161*(E108^2)-7.509*E108+6533)*(10^(-4))/E101</f>
        <v>0.16012254901960785</v>
      </c>
      <c r="F109" s="2240">
        <f>(-0.161*(F108^2)-7.509*F108+6533)*(10^(-4))/F101</f>
        <v>0.16012254901960785</v>
      </c>
      <c r="G109" s="2240">
        <f>(-0.161*(G108^2)-7.509*G108+6533)*(10^(-4))/G101</f>
        <v>0.16012254901960785</v>
      </c>
      <c r="H109" s="2240">
        <f>(-0.161*(H108^2)-7.509*H108+6533)*(10^(-4))/H101</f>
        <v>0.16012254901960785</v>
      </c>
      <c r="I109" s="2240">
        <f>(-0.161*(I108^2)-7.509*I108+6533)*(10^(-4))/I101</f>
        <v>0.16012254901960785</v>
      </c>
      <c r="J109" s="2240">
        <f>(-0.214*(J108^2)-21.991*J108+4665)*(10^(-4))/J101</f>
        <v>0.11433823529411766</v>
      </c>
      <c r="K109" s="2240">
        <f>(-0.214*(K108^2)-21.991*K108+4665)*(10^(-4))/K101</f>
        <v>0.11433823529411766</v>
      </c>
      <c r="L109" s="2240">
        <f>(-0.214*(L108^2)-21.991*L108+4665)*(10^(-4))/L101</f>
        <v>0.11433823529411766</v>
      </c>
      <c r="M109" s="2240">
        <f>(-0.214*(M108^2)-21.991*M108+4665)*(10^(-4))/M101</f>
        <v>0.11433823529411766</v>
      </c>
      <c r="N109" s="2240">
        <f>(-0.214*(N108^2)-21.991*N108+4665)*(10^(-4))/N101</f>
        <v>0.11433823529411766</v>
      </c>
      <c r="Q109" s="2976"/>
      <c r="R109" s="2976"/>
      <c r="S109" s="2976"/>
      <c r="T109" s="2976"/>
      <c r="U109" s="2976"/>
      <c r="V109" s="2976"/>
      <c r="W109" s="2976"/>
    </row>
    <row r="110" spans="1:23">
      <c r="A110" s="3690" t="s">
        <v>2444</v>
      </c>
      <c r="B110" s="3690"/>
      <c r="C110" s="3690"/>
      <c r="D110" s="3690"/>
      <c r="E110" s="3690"/>
      <c r="F110" s="3690"/>
      <c r="G110" s="3690"/>
      <c r="H110" s="3690"/>
      <c r="I110" s="3690"/>
      <c r="J110" s="3690"/>
      <c r="K110" s="2008"/>
      <c r="L110" s="2008"/>
      <c r="M110" s="2008"/>
      <c r="N110" s="2008"/>
      <c r="Q110" s="2976"/>
      <c r="R110" s="2976"/>
      <c r="S110" s="2976"/>
      <c r="T110" s="2976"/>
      <c r="U110" s="2976"/>
      <c r="V110" s="2976"/>
      <c r="W110" s="2976"/>
    </row>
    <row r="112" spans="1:23" ht="13.5" thickBot="1"/>
    <row r="113" spans="1:13" ht="25.5" thickBot="1">
      <c r="A113" s="2243" t="s">
        <v>2445</v>
      </c>
      <c r="B113" s="2244">
        <f>G3</f>
        <v>4.08</v>
      </c>
      <c r="C113" s="2245" t="s">
        <v>2446</v>
      </c>
      <c r="D113" s="2246">
        <f>SUMPRODUCT((A115:A118=F113)*(B114:M114=H113)*B115:M118)</f>
        <v>0</v>
      </c>
      <c r="E113" s="1530" t="s">
        <v>2332</v>
      </c>
      <c r="F113" s="2247" t="str">
        <f>E2</f>
        <v>住宅</v>
      </c>
      <c r="G113" s="1530" t="s">
        <v>2266</v>
      </c>
      <c r="H113" s="2247">
        <f>G2</f>
        <v>0</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0.89510000000000001</v>
      </c>
      <c r="C115" s="2256">
        <f>B115</f>
        <v>0.89510000000000001</v>
      </c>
      <c r="D115" s="2256">
        <f>ROUND(0.8331-0.0109*B113,4)</f>
        <v>0.78859999999999997</v>
      </c>
      <c r="E115" s="2256">
        <f>D115</f>
        <v>0.78859999999999997</v>
      </c>
      <c r="F115" s="2256">
        <f>E115</f>
        <v>0.78859999999999997</v>
      </c>
      <c r="G115" s="2256">
        <f>F115</f>
        <v>0.78859999999999997</v>
      </c>
      <c r="H115" s="2256">
        <f>G115</f>
        <v>0.78859999999999997</v>
      </c>
      <c r="I115" s="2256">
        <f>ROUND(0.689-0.0155*B113,4)</f>
        <v>0.62580000000000002</v>
      </c>
      <c r="J115" s="2256">
        <f t="shared" ref="J115:M118" si="34">I115</f>
        <v>0.62580000000000002</v>
      </c>
      <c r="K115" s="2256">
        <f t="shared" si="34"/>
        <v>0.62580000000000002</v>
      </c>
      <c r="L115" s="2256">
        <f t="shared" si="34"/>
        <v>0.62580000000000002</v>
      </c>
      <c r="M115" s="2257">
        <f t="shared" si="34"/>
        <v>0.62580000000000002</v>
      </c>
    </row>
    <row r="116" spans="1:13">
      <c r="A116" s="2255" t="s">
        <v>2334</v>
      </c>
      <c r="B116" s="2256">
        <f>ROUND(0.949-0.012*B113,4)</f>
        <v>0.9</v>
      </c>
      <c r="C116" s="2256">
        <f>B116</f>
        <v>0.9</v>
      </c>
      <c r="D116" s="2256">
        <f>ROUND(0.8567-0.013*B113,4)</f>
        <v>0.80369999999999997</v>
      </c>
      <c r="E116" s="2256">
        <f t="shared" ref="E116:H117" si="35">D116</f>
        <v>0.80369999999999997</v>
      </c>
      <c r="F116" s="2256">
        <f t="shared" si="35"/>
        <v>0.80369999999999997</v>
      </c>
      <c r="G116" s="2256">
        <f t="shared" si="35"/>
        <v>0.80369999999999997</v>
      </c>
      <c r="H116" s="2256">
        <f t="shared" si="35"/>
        <v>0.80369999999999997</v>
      </c>
      <c r="I116" s="2256">
        <f>ROUND(0.7694-0.014*B113,4)</f>
        <v>0.71230000000000004</v>
      </c>
      <c r="J116" s="2256">
        <f t="shared" si="34"/>
        <v>0.71230000000000004</v>
      </c>
      <c r="K116" s="2256">
        <f t="shared" si="34"/>
        <v>0.71230000000000004</v>
      </c>
      <c r="L116" s="2256">
        <f t="shared" si="34"/>
        <v>0.71230000000000004</v>
      </c>
      <c r="M116" s="2257">
        <f t="shared" si="34"/>
        <v>0.71230000000000004</v>
      </c>
    </row>
    <row r="117" spans="1:13">
      <c r="A117" s="2255" t="s">
        <v>2335</v>
      </c>
      <c r="B117" s="2256">
        <f>ROUND(0.8808-0.006*B113,4)</f>
        <v>0.85629999999999995</v>
      </c>
      <c r="C117" s="2256">
        <f>B117</f>
        <v>0.85629999999999995</v>
      </c>
      <c r="D117" s="2256">
        <f>ROUND(0.8748-0.008*B113,4)</f>
        <v>0.84219999999999995</v>
      </c>
      <c r="E117" s="2256">
        <f t="shared" si="35"/>
        <v>0.84219999999999995</v>
      </c>
      <c r="F117" s="2256">
        <f t="shared" si="35"/>
        <v>0.84219999999999995</v>
      </c>
      <c r="G117" s="2256">
        <f t="shared" si="35"/>
        <v>0.84219999999999995</v>
      </c>
      <c r="H117" s="2256">
        <f t="shared" si="35"/>
        <v>0.84219999999999995</v>
      </c>
      <c r="I117" s="2256">
        <f>ROUND(0.7412-0.0095*B113,4)</f>
        <v>0.70240000000000002</v>
      </c>
      <c r="J117" s="2256">
        <f t="shared" si="34"/>
        <v>0.70240000000000002</v>
      </c>
      <c r="K117" s="2256">
        <f t="shared" si="34"/>
        <v>0.70240000000000002</v>
      </c>
      <c r="L117" s="2256">
        <f t="shared" si="34"/>
        <v>0.70240000000000002</v>
      </c>
      <c r="M117" s="2257">
        <f t="shared" si="34"/>
        <v>0.70240000000000002</v>
      </c>
    </row>
    <row r="118" spans="1:13" ht="13.5" thickBot="1">
      <c r="A118" s="2258" t="s">
        <v>2336</v>
      </c>
      <c r="B118" s="2259">
        <f>ROUND(0.7275-0.01*B113,4)</f>
        <v>0.68669999999999998</v>
      </c>
      <c r="C118" s="2259">
        <f>B118</f>
        <v>0.68669999999999998</v>
      </c>
      <c r="D118" s="2259">
        <f>ROUND(0.7043-0.012*B113,4)</f>
        <v>0.65529999999999999</v>
      </c>
      <c r="E118" s="2259">
        <f>D118</f>
        <v>0.65529999999999999</v>
      </c>
      <c r="F118" s="2259">
        <f>E118</f>
        <v>0.65529999999999999</v>
      </c>
      <c r="G118" s="2259">
        <f>ROUND(0.6299-0.0122*B113,4)</f>
        <v>0.58009999999999995</v>
      </c>
      <c r="H118" s="2259">
        <f>G118</f>
        <v>0.58009999999999995</v>
      </c>
      <c r="I118" s="2259">
        <f>ROUND(0.5667-0.0136*B113,4)</f>
        <v>0.51119999999999999</v>
      </c>
      <c r="J118" s="2259">
        <f t="shared" si="34"/>
        <v>0.51119999999999999</v>
      </c>
      <c r="K118" s="2259">
        <f t="shared" si="34"/>
        <v>0.51119999999999999</v>
      </c>
      <c r="L118" s="2259">
        <f t="shared" si="34"/>
        <v>0.51119999999999999</v>
      </c>
      <c r="M118" s="2260">
        <f t="shared" si="34"/>
        <v>0.51119999999999999</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2" t="s">
        <v>597</v>
      </c>
      <c r="B1" s="3712"/>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2" t="s">
        <v>105</v>
      </c>
      <c r="B1" s="3712"/>
      <c r="C1" s="3712"/>
      <c r="D1" s="3712"/>
      <c r="E1" s="3712"/>
      <c r="F1" s="371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3" t="s">
        <v>118</v>
      </c>
      <c r="B2" s="3713"/>
      <c r="C2" s="3713"/>
      <c r="D2" s="3713"/>
      <c r="E2" s="3713"/>
      <c r="F2" s="371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4"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5"/>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2802</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2803</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2804</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2805</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2806</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2807</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2477</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2808</v>
      </c>
      <c r="B19" s="3289" t="s">
        <v>2809</v>
      </c>
      <c r="C19" s="3316" t="s">
        <v>561</v>
      </c>
      <c r="D19" s="3288"/>
      <c r="E19" s="3284" t="s">
        <v>3026</v>
      </c>
      <c r="F19" s="3317"/>
      <c r="G19" s="3317"/>
    </row>
    <row r="20" spans="1:13" ht="19.5" customHeight="1">
      <c r="A20" s="3720" t="s">
        <v>2802</v>
      </c>
      <c r="B20" s="3723" t="s">
        <v>2810</v>
      </c>
      <c r="C20" s="3290" t="s">
        <v>2811</v>
      </c>
      <c r="D20" s="3291"/>
      <c r="E20" s="3292">
        <v>1</v>
      </c>
      <c r="F20" s="3293" t="s">
        <v>2812</v>
      </c>
      <c r="G20" s="3293"/>
    </row>
    <row r="21" spans="1:13" ht="19.5" customHeight="1">
      <c r="A21" s="3721"/>
      <c r="B21" s="3719"/>
      <c r="C21" s="740" t="s">
        <v>2813</v>
      </c>
      <c r="D21" s="741"/>
      <c r="E21" s="3294">
        <v>1</v>
      </c>
      <c r="F21" s="3293" t="s">
        <v>2814</v>
      </c>
      <c r="G21" s="3293"/>
    </row>
    <row r="22" spans="1:13" ht="19.5" customHeight="1">
      <c r="A22" s="3721"/>
      <c r="B22" s="3719"/>
      <c r="C22" s="740" t="s">
        <v>2815</v>
      </c>
      <c r="D22" s="741"/>
      <c r="E22" s="3294">
        <v>0.9</v>
      </c>
      <c r="F22" s="3293" t="s">
        <v>2816</v>
      </c>
      <c r="G22" s="3293"/>
    </row>
    <row r="23" spans="1:13" ht="19.5" customHeight="1">
      <c r="A23" s="3721"/>
      <c r="B23" s="3719"/>
      <c r="C23" s="740" t="s">
        <v>2817</v>
      </c>
      <c r="D23" s="741"/>
      <c r="E23" s="3294">
        <v>0.9</v>
      </c>
      <c r="F23" s="3293" t="s">
        <v>2818</v>
      </c>
      <c r="G23" s="3293"/>
    </row>
    <row r="24" spans="1:13" ht="19.5" customHeight="1">
      <c r="A24" s="3721"/>
      <c r="B24" s="3719"/>
      <c r="C24" s="740" t="s">
        <v>2819</v>
      </c>
      <c r="D24" s="741"/>
      <c r="E24" s="3294">
        <v>0.8</v>
      </c>
      <c r="F24" s="3293" t="s">
        <v>2820</v>
      </c>
      <c r="G24" s="3293"/>
    </row>
    <row r="25" spans="1:13" ht="19.5" customHeight="1" thickBot="1">
      <c r="A25" s="3722"/>
      <c r="B25" s="3724"/>
      <c r="C25" s="3295" t="s">
        <v>2821</v>
      </c>
      <c r="D25" s="3296"/>
      <c r="E25" s="3297">
        <v>0.8</v>
      </c>
      <c r="F25" s="3293" t="s">
        <v>2822</v>
      </c>
      <c r="G25" s="3293"/>
    </row>
    <row r="26" spans="1:13" ht="19.5" customHeight="1" thickBot="1">
      <c r="A26" s="3298" t="s">
        <v>2803</v>
      </c>
      <c r="B26" s="3299" t="s">
        <v>2810</v>
      </c>
      <c r="C26" s="3300" t="s">
        <v>2823</v>
      </c>
      <c r="D26" s="3301"/>
      <c r="E26" s="3302">
        <v>1</v>
      </c>
      <c r="F26" s="3293" t="s">
        <v>2864</v>
      </c>
      <c r="G26" s="3293"/>
    </row>
    <row r="27" spans="1:13" ht="19.5" customHeight="1">
      <c r="A27" s="3725" t="s">
        <v>2807</v>
      </c>
      <c r="B27" s="3723" t="s">
        <v>2807</v>
      </c>
      <c r="C27" s="3290" t="s">
        <v>2824</v>
      </c>
      <c r="D27" s="3291"/>
      <c r="E27" s="3292">
        <v>1</v>
      </c>
      <c r="F27" s="3293" t="s">
        <v>2865</v>
      </c>
      <c r="G27" s="3293"/>
    </row>
    <row r="28" spans="1:13" ht="19.5" customHeight="1">
      <c r="A28" s="3726"/>
      <c r="B28" s="3719"/>
      <c r="C28" s="740" t="s">
        <v>2825</v>
      </c>
      <c r="D28" s="741"/>
      <c r="E28" s="3294">
        <v>1</v>
      </c>
      <c r="F28" s="3293" t="s">
        <v>2866</v>
      </c>
      <c r="G28" s="3293"/>
    </row>
    <row r="29" spans="1:13" ht="19.5" customHeight="1">
      <c r="A29" s="3726"/>
      <c r="B29" s="3719"/>
      <c r="C29" s="740" t="s">
        <v>2826</v>
      </c>
      <c r="D29" s="741"/>
      <c r="E29" s="3294">
        <v>0.8</v>
      </c>
      <c r="F29" s="3293" t="s">
        <v>2867</v>
      </c>
      <c r="G29" s="3293"/>
    </row>
    <row r="30" spans="1:13" ht="19.5" customHeight="1">
      <c r="A30" s="3726"/>
      <c r="B30" s="3719"/>
      <c r="C30" s="740" t="s">
        <v>2827</v>
      </c>
      <c r="D30" s="741"/>
      <c r="E30" s="3294">
        <v>0.8</v>
      </c>
      <c r="F30" s="3293" t="s">
        <v>2868</v>
      </c>
      <c r="G30" s="3293"/>
    </row>
    <row r="31" spans="1:13" ht="19.5" customHeight="1">
      <c r="A31" s="3726"/>
      <c r="B31" s="3719"/>
      <c r="C31" s="740" t="s">
        <v>2828</v>
      </c>
      <c r="D31" s="741"/>
      <c r="E31" s="3294">
        <v>0.8</v>
      </c>
      <c r="F31" s="3293" t="s">
        <v>2869</v>
      </c>
      <c r="G31" s="3293"/>
    </row>
    <row r="32" spans="1:13" ht="19.5" customHeight="1">
      <c r="A32" s="3726"/>
      <c r="B32" s="3719"/>
      <c r="C32" s="740" t="s">
        <v>2829</v>
      </c>
      <c r="D32" s="741"/>
      <c r="E32" s="3294">
        <v>0.7</v>
      </c>
      <c r="F32" s="3293" t="s">
        <v>2870</v>
      </c>
      <c r="G32" s="3293"/>
    </row>
    <row r="33" spans="1:7" ht="19.5" customHeight="1">
      <c r="A33" s="3726"/>
      <c r="B33" s="3719"/>
      <c r="C33" s="740" t="s">
        <v>2830</v>
      </c>
      <c r="D33" s="741"/>
      <c r="E33" s="3294">
        <v>0.8</v>
      </c>
      <c r="F33" s="3293" t="s">
        <v>2871</v>
      </c>
      <c r="G33" s="3293"/>
    </row>
    <row r="34" spans="1:7" ht="19.5" customHeight="1">
      <c r="A34" s="3726"/>
      <c r="B34" s="3719"/>
      <c r="C34" s="740" t="s">
        <v>2831</v>
      </c>
      <c r="D34" s="741"/>
      <c r="E34" s="3294">
        <v>0.6</v>
      </c>
      <c r="F34" s="3293" t="s">
        <v>2872</v>
      </c>
      <c r="G34" s="3293"/>
    </row>
    <row r="35" spans="1:7" ht="19.5" customHeight="1">
      <c r="A35" s="3726"/>
      <c r="B35" s="3719"/>
      <c r="C35" s="740" t="s">
        <v>2832</v>
      </c>
      <c r="D35" s="741"/>
      <c r="E35" s="3294">
        <v>0.2</v>
      </c>
      <c r="F35" s="3293" t="s">
        <v>2873</v>
      </c>
      <c r="G35" s="3293"/>
    </row>
    <row r="36" spans="1:7" ht="19.5" customHeight="1">
      <c r="A36" s="3726"/>
      <c r="B36" s="3719"/>
      <c r="C36" s="740" t="s">
        <v>2833</v>
      </c>
      <c r="D36" s="741"/>
      <c r="E36" s="3294">
        <v>0.2</v>
      </c>
      <c r="F36" s="3293" t="s">
        <v>2874</v>
      </c>
      <c r="G36" s="3293"/>
    </row>
    <row r="37" spans="1:7" ht="19.5" customHeight="1">
      <c r="A37" s="3726"/>
      <c r="B37" s="3717" t="s">
        <v>2834</v>
      </c>
      <c r="C37" s="740" t="s">
        <v>2835</v>
      </c>
      <c r="D37" s="741"/>
      <c r="E37" s="3294">
        <v>0.6</v>
      </c>
      <c r="F37" s="3293" t="s">
        <v>2875</v>
      </c>
      <c r="G37" s="3293"/>
    </row>
    <row r="38" spans="1:7" ht="19.5" customHeight="1">
      <c r="A38" s="3726"/>
      <c r="B38" s="3719"/>
      <c r="C38" s="740" t="s">
        <v>2836</v>
      </c>
      <c r="D38" s="741"/>
      <c r="E38" s="3294">
        <v>0.6</v>
      </c>
      <c r="F38" s="3293" t="s">
        <v>2876</v>
      </c>
      <c r="G38" s="3293"/>
    </row>
    <row r="39" spans="1:7" ht="19.5" customHeight="1" thickBot="1">
      <c r="A39" s="3727"/>
      <c r="B39" s="3724"/>
      <c r="C39" s="3295" t="s">
        <v>2837</v>
      </c>
      <c r="D39" s="3296"/>
      <c r="E39" s="3297">
        <v>0.6</v>
      </c>
      <c r="F39" s="3293" t="s">
        <v>2877</v>
      </c>
      <c r="G39" s="3293"/>
    </row>
    <row r="40" spans="1:7" ht="19.5" customHeight="1" thickBot="1">
      <c r="A40" s="3298" t="s">
        <v>2838</v>
      </c>
      <c r="B40" s="3299" t="s">
        <v>2838</v>
      </c>
      <c r="C40" s="3300" t="s">
        <v>2839</v>
      </c>
      <c r="D40" s="3301"/>
      <c r="E40" s="3302">
        <v>1</v>
      </c>
      <c r="F40" s="3293" t="s">
        <v>2878</v>
      </c>
      <c r="G40" s="3293"/>
    </row>
    <row r="41" spans="1:7" ht="19.5" customHeight="1">
      <c r="A41" s="3720" t="s">
        <v>2840</v>
      </c>
      <c r="B41" s="3723" t="s">
        <v>2841</v>
      </c>
      <c r="C41" s="3290" t="s">
        <v>2842</v>
      </c>
      <c r="D41" s="3291"/>
      <c r="E41" s="3292">
        <v>1</v>
      </c>
      <c r="F41" s="3293" t="s">
        <v>2843</v>
      </c>
      <c r="G41" s="3293"/>
    </row>
    <row r="42" spans="1:7" ht="19.5" customHeight="1">
      <c r="A42" s="3721"/>
      <c r="B42" s="3719"/>
      <c r="C42" s="740" t="s">
        <v>2844</v>
      </c>
      <c r="D42" s="741"/>
      <c r="E42" s="3294">
        <v>1</v>
      </c>
      <c r="F42" s="3293" t="s">
        <v>2845</v>
      </c>
      <c r="G42" s="3293"/>
    </row>
    <row r="43" spans="1:7" ht="19.5" customHeight="1">
      <c r="A43" s="3721"/>
      <c r="B43" s="3718"/>
      <c r="C43" s="740" t="s">
        <v>2846</v>
      </c>
      <c r="D43" s="741"/>
      <c r="E43" s="3294">
        <v>1.5</v>
      </c>
      <c r="F43" s="3293" t="s">
        <v>2847</v>
      </c>
      <c r="G43" s="3293"/>
    </row>
    <row r="44" spans="1:7" ht="19.5" customHeight="1">
      <c r="A44" s="3721"/>
      <c r="B44" s="3303" t="s">
        <v>2807</v>
      </c>
      <c r="C44" s="740" t="s">
        <v>2806</v>
      </c>
      <c r="D44" s="741"/>
      <c r="E44" s="3294">
        <v>2</v>
      </c>
      <c r="F44" s="3293" t="s">
        <v>2848</v>
      </c>
      <c r="G44" s="3293"/>
    </row>
    <row r="45" spans="1:7" ht="19.5" customHeight="1">
      <c r="A45" s="3721"/>
      <c r="B45" s="3717" t="s">
        <v>2849</v>
      </c>
      <c r="C45" s="740" t="s">
        <v>2850</v>
      </c>
      <c r="D45" s="741"/>
      <c r="E45" s="3294">
        <v>1</v>
      </c>
      <c r="F45" s="3293" t="s">
        <v>2851</v>
      </c>
      <c r="G45" s="3293"/>
    </row>
    <row r="46" spans="1:7" ht="19.5" customHeight="1">
      <c r="A46" s="3721"/>
      <c r="B46" s="3719"/>
      <c r="C46" s="740" t="s">
        <v>2852</v>
      </c>
      <c r="D46" s="741"/>
      <c r="E46" s="3294">
        <v>1</v>
      </c>
      <c r="F46" s="3293" t="s">
        <v>2853</v>
      </c>
      <c r="G46" s="3293"/>
    </row>
    <row r="47" spans="1:7" ht="19.5" customHeight="1">
      <c r="A47" s="3721"/>
      <c r="B47" s="3719"/>
      <c r="C47" s="740" t="s">
        <v>2854</v>
      </c>
      <c r="D47" s="741"/>
      <c r="E47" s="3294">
        <v>1</v>
      </c>
      <c r="F47" s="3293" t="s">
        <v>2855</v>
      </c>
      <c r="G47" s="3293"/>
    </row>
    <row r="48" spans="1:7" ht="19.5" customHeight="1">
      <c r="A48" s="3721"/>
      <c r="B48" s="3719"/>
      <c r="C48" s="740" t="s">
        <v>2856</v>
      </c>
      <c r="D48" s="741"/>
      <c r="E48" s="3294">
        <v>1</v>
      </c>
      <c r="F48" s="3293" t="s">
        <v>2857</v>
      </c>
      <c r="G48" s="3293"/>
    </row>
    <row r="49" spans="1:7" ht="19.5" customHeight="1">
      <c r="A49" s="3721"/>
      <c r="B49" s="3719"/>
      <c r="C49" s="740" t="s">
        <v>2858</v>
      </c>
      <c r="D49" s="741"/>
      <c r="E49" s="3294">
        <v>1</v>
      </c>
      <c r="F49" s="3293" t="s">
        <v>2859</v>
      </c>
      <c r="G49" s="3293"/>
    </row>
    <row r="50" spans="1:7" ht="19.5" customHeight="1">
      <c r="A50" s="3721"/>
      <c r="B50" s="3719"/>
      <c r="C50" s="740" t="s">
        <v>2860</v>
      </c>
      <c r="D50" s="741"/>
      <c r="E50" s="3294">
        <v>1</v>
      </c>
      <c r="F50" s="3293" t="s">
        <v>2861</v>
      </c>
      <c r="G50" s="3293"/>
    </row>
    <row r="51" spans="1:7" ht="19.5" customHeight="1" thickBot="1">
      <c r="A51" s="3722"/>
      <c r="B51" s="3724"/>
      <c r="C51" s="3295" t="s">
        <v>2862</v>
      </c>
      <c r="D51" s="3296"/>
      <c r="E51" s="3297">
        <v>1</v>
      </c>
      <c r="F51" s="3293" t="s">
        <v>2863</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2879</v>
      </c>
      <c r="D72" s="3303"/>
      <c r="E72" s="3309" t="s">
        <v>1</v>
      </c>
      <c r="F72" s="3303" t="s">
        <v>1</v>
      </c>
    </row>
    <row r="73" spans="1:7" ht="13.5">
      <c r="A73" s="3303">
        <v>1</v>
      </c>
      <c r="B73" s="3717" t="s">
        <v>2880</v>
      </c>
      <c r="C73" s="3284" t="s">
        <v>2881</v>
      </c>
      <c r="D73" s="3284" t="s">
        <v>2882</v>
      </c>
      <c r="E73" s="3309">
        <v>0.2</v>
      </c>
      <c r="F73" s="3303">
        <v>25</v>
      </c>
    </row>
    <row r="74" spans="1:7" ht="24">
      <c r="A74" s="3303">
        <v>2</v>
      </c>
      <c r="B74" s="3719"/>
      <c r="C74" s="3284" t="s">
        <v>2883</v>
      </c>
      <c r="D74" s="3284" t="s">
        <v>2884</v>
      </c>
      <c r="E74" s="3309">
        <v>0.2</v>
      </c>
      <c r="F74" s="3303">
        <v>25</v>
      </c>
    </row>
    <row r="75" spans="1:7" ht="24">
      <c r="A75" s="3303">
        <v>3</v>
      </c>
      <c r="B75" s="3719"/>
      <c r="C75" s="3284" t="s">
        <v>2885</v>
      </c>
      <c r="D75" s="3284" t="s">
        <v>2886</v>
      </c>
      <c r="E75" s="3309">
        <v>0.2</v>
      </c>
      <c r="F75" s="3303">
        <v>25</v>
      </c>
    </row>
    <row r="76" spans="1:7" ht="13.5">
      <c r="A76" s="3303">
        <v>4</v>
      </c>
      <c r="B76" s="3719"/>
      <c r="C76" s="3284" t="s">
        <v>2887</v>
      </c>
      <c r="D76" s="3284" t="s">
        <v>2888</v>
      </c>
      <c r="E76" s="3309">
        <v>0.15</v>
      </c>
      <c r="F76" s="3303">
        <v>20</v>
      </c>
    </row>
    <row r="77" spans="1:7" ht="24">
      <c r="A77" s="3303">
        <v>5</v>
      </c>
      <c r="B77" s="3719"/>
      <c r="C77" s="3284" t="s">
        <v>2889</v>
      </c>
      <c r="D77" s="3284" t="s">
        <v>2890</v>
      </c>
      <c r="E77" s="3309">
        <v>0.15</v>
      </c>
      <c r="F77" s="3303">
        <v>20</v>
      </c>
    </row>
    <row r="78" spans="1:7" ht="24">
      <c r="A78" s="3303">
        <v>6</v>
      </c>
      <c r="B78" s="3719"/>
      <c r="C78" s="3284" t="s">
        <v>2891</v>
      </c>
      <c r="D78" s="3284" t="s">
        <v>2892</v>
      </c>
      <c r="E78" s="3309">
        <v>0.15</v>
      </c>
      <c r="F78" s="3303">
        <v>20</v>
      </c>
    </row>
    <row r="79" spans="1:7" ht="24">
      <c r="A79" s="3303">
        <v>7</v>
      </c>
      <c r="B79" s="3719"/>
      <c r="C79" s="3284" t="s">
        <v>2893</v>
      </c>
      <c r="D79" s="3284" t="s">
        <v>2894</v>
      </c>
      <c r="E79" s="3309">
        <v>0.15</v>
      </c>
      <c r="F79" s="3303">
        <v>20</v>
      </c>
    </row>
    <row r="80" spans="1:7" ht="24">
      <c r="A80" s="3303">
        <v>8</v>
      </c>
      <c r="B80" s="3719"/>
      <c r="C80" s="3284" t="s">
        <v>2895</v>
      </c>
      <c r="D80" s="3284" t="s">
        <v>2896</v>
      </c>
      <c r="E80" s="3309">
        <v>0.1</v>
      </c>
      <c r="F80" s="3303">
        <v>15</v>
      </c>
    </row>
    <row r="81" spans="1:6" ht="24">
      <c r="A81" s="3303">
        <v>9</v>
      </c>
      <c r="B81" s="3719"/>
      <c r="C81" s="3284" t="s">
        <v>2897</v>
      </c>
      <c r="D81" s="3284" t="s">
        <v>2898</v>
      </c>
      <c r="E81" s="3309">
        <v>0.1</v>
      </c>
      <c r="F81" s="3303">
        <v>15</v>
      </c>
    </row>
    <row r="82" spans="1:6" ht="24">
      <c r="A82" s="3303">
        <v>10</v>
      </c>
      <c r="B82" s="3719"/>
      <c r="C82" s="3284" t="s">
        <v>2899</v>
      </c>
      <c r="D82" s="3284" t="s">
        <v>2900</v>
      </c>
      <c r="E82" s="3309">
        <v>0.1</v>
      </c>
      <c r="F82" s="3303">
        <v>15</v>
      </c>
    </row>
    <row r="83" spans="1:6" ht="24">
      <c r="A83" s="3303">
        <v>11</v>
      </c>
      <c r="B83" s="3719"/>
      <c r="C83" s="3284" t="s">
        <v>2901</v>
      </c>
      <c r="D83" s="3284" t="s">
        <v>2902</v>
      </c>
      <c r="E83" s="3309">
        <v>0.1</v>
      </c>
      <c r="F83" s="3303">
        <v>15</v>
      </c>
    </row>
    <row r="84" spans="1:6" ht="24">
      <c r="A84" s="3303">
        <v>12</v>
      </c>
      <c r="B84" s="3719"/>
      <c r="C84" s="3284" t="s">
        <v>2903</v>
      </c>
      <c r="D84" s="3284" t="s">
        <v>2904</v>
      </c>
      <c r="E84" s="3309">
        <v>0.1</v>
      </c>
      <c r="F84" s="3303">
        <v>15</v>
      </c>
    </row>
    <row r="85" spans="1:6" ht="13.5">
      <c r="A85" s="3303">
        <v>13</v>
      </c>
      <c r="B85" s="3719"/>
      <c r="C85" s="3284" t="s">
        <v>2905</v>
      </c>
      <c r="D85" s="3284" t="s">
        <v>2906</v>
      </c>
      <c r="E85" s="3309">
        <v>0.1</v>
      </c>
      <c r="F85" s="3303">
        <v>15</v>
      </c>
    </row>
    <row r="86" spans="1:6" ht="13.5">
      <c r="A86" s="3303">
        <v>14</v>
      </c>
      <c r="B86" s="3719"/>
      <c r="C86" s="3284" t="s">
        <v>2907</v>
      </c>
      <c r="D86" s="3284" t="s">
        <v>2908</v>
      </c>
      <c r="E86" s="3309">
        <v>0.1</v>
      </c>
      <c r="F86" s="3303">
        <v>15</v>
      </c>
    </row>
    <row r="87" spans="1:6" ht="13.5">
      <c r="A87" s="3303">
        <v>15</v>
      </c>
      <c r="B87" s="3719"/>
      <c r="C87" s="3284" t="s">
        <v>2909</v>
      </c>
      <c r="D87" s="3284" t="s">
        <v>2910</v>
      </c>
      <c r="E87" s="3309">
        <v>0.1</v>
      </c>
      <c r="F87" s="3303">
        <v>15</v>
      </c>
    </row>
    <row r="88" spans="1:6" ht="24">
      <c r="A88" s="3303">
        <v>16</v>
      </c>
      <c r="B88" s="3719"/>
      <c r="C88" s="3284" t="s">
        <v>2911</v>
      </c>
      <c r="D88" s="3284" t="s">
        <v>2912</v>
      </c>
      <c r="E88" s="3309">
        <v>0.1</v>
      </c>
      <c r="F88" s="3303">
        <v>15</v>
      </c>
    </row>
    <row r="89" spans="1:6" ht="24">
      <c r="A89" s="3303">
        <v>17</v>
      </c>
      <c r="B89" s="3718"/>
      <c r="C89" s="3284" t="s">
        <v>2913</v>
      </c>
      <c r="D89" s="3284" t="s">
        <v>2914</v>
      </c>
      <c r="E89" s="3309">
        <v>0.1</v>
      </c>
      <c r="F89" s="3303">
        <v>15</v>
      </c>
    </row>
    <row r="90" spans="1:6" ht="13.5">
      <c r="A90" s="3303">
        <v>18</v>
      </c>
      <c r="B90" s="3717" t="s">
        <v>2915</v>
      </c>
      <c r="C90" s="3284" t="s">
        <v>2916</v>
      </c>
      <c r="D90" s="3284" t="s">
        <v>2917</v>
      </c>
      <c r="E90" s="3309">
        <v>0.2</v>
      </c>
      <c r="F90" s="3303">
        <v>25</v>
      </c>
    </row>
    <row r="91" spans="1:6" ht="24">
      <c r="A91" s="3303">
        <v>19</v>
      </c>
      <c r="B91" s="3719"/>
      <c r="C91" s="3284" t="s">
        <v>2918</v>
      </c>
      <c r="D91" s="3284" t="s">
        <v>2919</v>
      </c>
      <c r="E91" s="3309">
        <v>0.2</v>
      </c>
      <c r="F91" s="3303">
        <v>25</v>
      </c>
    </row>
    <row r="92" spans="1:6" ht="13.5">
      <c r="A92" s="3303">
        <v>20</v>
      </c>
      <c r="B92" s="3719"/>
      <c r="C92" s="3284" t="s">
        <v>2920</v>
      </c>
      <c r="D92" s="3284" t="s">
        <v>2921</v>
      </c>
      <c r="E92" s="3309">
        <v>0.15</v>
      </c>
      <c r="F92" s="3303">
        <v>20</v>
      </c>
    </row>
    <row r="93" spans="1:6" ht="24">
      <c r="A93" s="3303">
        <v>21</v>
      </c>
      <c r="B93" s="3719"/>
      <c r="C93" s="3284" t="s">
        <v>2922</v>
      </c>
      <c r="D93" s="3284" t="s">
        <v>2923</v>
      </c>
      <c r="E93" s="3309">
        <v>0.15</v>
      </c>
      <c r="F93" s="3303">
        <v>20</v>
      </c>
    </row>
    <row r="94" spans="1:6" ht="24">
      <c r="A94" s="3303">
        <v>22</v>
      </c>
      <c r="B94" s="3719"/>
      <c r="C94" s="3284" t="s">
        <v>2924</v>
      </c>
      <c r="D94" s="3284" t="s">
        <v>2925</v>
      </c>
      <c r="E94" s="3309">
        <v>0.15</v>
      </c>
      <c r="F94" s="3303">
        <v>20</v>
      </c>
    </row>
    <row r="95" spans="1:6" ht="36">
      <c r="A95" s="3303">
        <v>23</v>
      </c>
      <c r="B95" s="3719"/>
      <c r="C95" s="3284" t="s">
        <v>2926</v>
      </c>
      <c r="D95" s="3284" t="s">
        <v>2927</v>
      </c>
      <c r="E95" s="3309">
        <v>0.15</v>
      </c>
      <c r="F95" s="3303">
        <v>20</v>
      </c>
    </row>
    <row r="96" spans="1:6" ht="13.5">
      <c r="A96" s="3303">
        <v>24</v>
      </c>
      <c r="B96" s="3719"/>
      <c r="C96" s="3284" t="s">
        <v>2928</v>
      </c>
      <c r="D96" s="3284" t="s">
        <v>2929</v>
      </c>
      <c r="E96" s="3309">
        <v>0.1</v>
      </c>
      <c r="F96" s="3303">
        <v>15</v>
      </c>
    </row>
    <row r="97" spans="1:6" ht="24">
      <c r="A97" s="3303">
        <v>25</v>
      </c>
      <c r="B97" s="3719"/>
      <c r="C97" s="3284" t="s">
        <v>2930</v>
      </c>
      <c r="D97" s="3284" t="s">
        <v>2931</v>
      </c>
      <c r="E97" s="3309">
        <v>0.1</v>
      </c>
      <c r="F97" s="3303">
        <v>15</v>
      </c>
    </row>
    <row r="98" spans="1:6" ht="24">
      <c r="A98" s="3303">
        <v>26</v>
      </c>
      <c r="B98" s="3719"/>
      <c r="C98" s="3284" t="s">
        <v>2932</v>
      </c>
      <c r="D98" s="3284" t="s">
        <v>2933</v>
      </c>
      <c r="E98" s="3309">
        <v>0.1</v>
      </c>
      <c r="F98" s="3303">
        <v>15</v>
      </c>
    </row>
    <row r="99" spans="1:6" ht="24">
      <c r="A99" s="3303">
        <v>27</v>
      </c>
      <c r="B99" s="3719"/>
      <c r="C99" s="3284" t="s">
        <v>2934</v>
      </c>
      <c r="D99" s="3284" t="s">
        <v>2935</v>
      </c>
      <c r="E99" s="3309">
        <v>0.1</v>
      </c>
      <c r="F99" s="3303">
        <v>15</v>
      </c>
    </row>
    <row r="100" spans="1:6" ht="24">
      <c r="A100" s="3303">
        <v>28</v>
      </c>
      <c r="B100" s="3719"/>
      <c r="C100" s="3284" t="s">
        <v>2936</v>
      </c>
      <c r="D100" s="3284" t="s">
        <v>2937</v>
      </c>
      <c r="E100" s="3309">
        <v>0.1</v>
      </c>
      <c r="F100" s="3303">
        <v>15</v>
      </c>
    </row>
    <row r="101" spans="1:6" ht="24">
      <c r="A101" s="3303">
        <v>29</v>
      </c>
      <c r="B101" s="3719"/>
      <c r="C101" s="3284" t="s">
        <v>2938</v>
      </c>
      <c r="D101" s="3284" t="s">
        <v>2939</v>
      </c>
      <c r="E101" s="3309">
        <v>0.1</v>
      </c>
      <c r="F101" s="3303">
        <v>15</v>
      </c>
    </row>
    <row r="102" spans="1:6" ht="24">
      <c r="A102" s="3303">
        <v>30</v>
      </c>
      <c r="B102" s="3719"/>
      <c r="C102" s="3284" t="s">
        <v>2940</v>
      </c>
      <c r="D102" s="3284" t="s">
        <v>2941</v>
      </c>
      <c r="E102" s="3309">
        <v>0.1</v>
      </c>
      <c r="F102" s="3303">
        <v>15</v>
      </c>
    </row>
    <row r="103" spans="1:6" ht="24">
      <c r="A103" s="3303">
        <v>31</v>
      </c>
      <c r="B103" s="3719"/>
      <c r="C103" s="3284" t="s">
        <v>2942</v>
      </c>
      <c r="D103" s="3284" t="s">
        <v>2943</v>
      </c>
      <c r="E103" s="3309">
        <v>0.1</v>
      </c>
      <c r="F103" s="3303">
        <v>15</v>
      </c>
    </row>
    <row r="104" spans="1:6" ht="24">
      <c r="A104" s="3303">
        <v>32</v>
      </c>
      <c r="B104" s="3719"/>
      <c r="C104" s="3284" t="s">
        <v>2944</v>
      </c>
      <c r="D104" s="3284" t="s">
        <v>2945</v>
      </c>
      <c r="E104" s="3309">
        <v>0.1</v>
      </c>
      <c r="F104" s="3303">
        <v>15</v>
      </c>
    </row>
    <row r="105" spans="1:6" ht="24">
      <c r="A105" s="3303">
        <v>33</v>
      </c>
      <c r="B105" s="3719"/>
      <c r="C105" s="3284" t="s">
        <v>2946</v>
      </c>
      <c r="D105" s="3284" t="s">
        <v>2947</v>
      </c>
      <c r="E105" s="3309">
        <v>0.1</v>
      </c>
      <c r="F105" s="3303">
        <v>15</v>
      </c>
    </row>
    <row r="106" spans="1:6" ht="24">
      <c r="A106" s="3303">
        <v>34</v>
      </c>
      <c r="B106" s="3718"/>
      <c r="C106" s="3284" t="s">
        <v>2948</v>
      </c>
      <c r="D106" s="3284" t="s">
        <v>2949</v>
      </c>
      <c r="E106" s="3309">
        <v>0.1</v>
      </c>
      <c r="F106" s="3303">
        <v>15</v>
      </c>
    </row>
    <row r="107" spans="1:6" ht="24">
      <c r="A107" s="3303">
        <v>35</v>
      </c>
      <c r="B107" s="3717" t="s">
        <v>2950</v>
      </c>
      <c r="C107" s="3303" t="s">
        <v>2951</v>
      </c>
      <c r="D107" s="3284" t="s">
        <v>2952</v>
      </c>
      <c r="E107" s="3309">
        <v>0.15</v>
      </c>
      <c r="F107" s="3303">
        <v>20</v>
      </c>
    </row>
    <row r="108" spans="1:6" ht="24">
      <c r="A108" s="3303">
        <v>36</v>
      </c>
      <c r="B108" s="3719"/>
      <c r="C108" s="3303" t="s">
        <v>2953</v>
      </c>
      <c r="D108" s="3284" t="s">
        <v>2954</v>
      </c>
      <c r="E108" s="3309">
        <v>0.15</v>
      </c>
      <c r="F108" s="3303">
        <v>20</v>
      </c>
    </row>
    <row r="109" spans="1:6" ht="24">
      <c r="A109" s="3303">
        <v>37</v>
      </c>
      <c r="B109" s="3719"/>
      <c r="C109" s="3303" t="s">
        <v>2955</v>
      </c>
      <c r="D109" s="3284" t="s">
        <v>2956</v>
      </c>
      <c r="E109" s="3309">
        <v>0.15</v>
      </c>
      <c r="F109" s="3303">
        <v>20</v>
      </c>
    </row>
    <row r="110" spans="1:6" ht="13.5">
      <c r="A110" s="3303">
        <v>38</v>
      </c>
      <c r="B110" s="3719"/>
      <c r="C110" s="3303" t="s">
        <v>2957</v>
      </c>
      <c r="D110" s="3284" t="s">
        <v>2958</v>
      </c>
      <c r="E110" s="3309">
        <v>0.1</v>
      </c>
      <c r="F110" s="3303">
        <v>15</v>
      </c>
    </row>
    <row r="111" spans="1:6" ht="24">
      <c r="A111" s="3303">
        <v>39</v>
      </c>
      <c r="B111" s="3719"/>
      <c r="C111" s="3303" t="s">
        <v>2959</v>
      </c>
      <c r="D111" s="3284" t="s">
        <v>2960</v>
      </c>
      <c r="E111" s="3309">
        <v>0.1</v>
      </c>
      <c r="F111" s="3303">
        <v>15</v>
      </c>
    </row>
    <row r="112" spans="1:6" ht="24">
      <c r="A112" s="3303">
        <v>40</v>
      </c>
      <c r="B112" s="3718"/>
      <c r="C112" s="3303" t="s">
        <v>2961</v>
      </c>
      <c r="D112" s="3284" t="s">
        <v>2962</v>
      </c>
      <c r="E112" s="3309">
        <v>0.1</v>
      </c>
      <c r="F112" s="3303">
        <v>15</v>
      </c>
    </row>
    <row r="113" spans="1:6" ht="24">
      <c r="A113" s="3303">
        <v>41</v>
      </c>
      <c r="B113" s="3716" t="s">
        <v>2963</v>
      </c>
      <c r="C113" s="3303" t="s">
        <v>2964</v>
      </c>
      <c r="D113" s="3284" t="s">
        <v>2965</v>
      </c>
      <c r="E113" s="3309">
        <v>0.1</v>
      </c>
      <c r="F113" s="3303">
        <v>15</v>
      </c>
    </row>
    <row r="114" spans="1:6" ht="13.5">
      <c r="A114" s="3303">
        <v>42</v>
      </c>
      <c r="B114" s="3716"/>
      <c r="C114" s="3303" t="s">
        <v>2966</v>
      </c>
      <c r="D114" s="3284" t="s">
        <v>2967</v>
      </c>
      <c r="E114" s="3309">
        <v>0.1</v>
      </c>
      <c r="F114" s="3303">
        <v>15</v>
      </c>
    </row>
    <row r="115" spans="1:6" ht="24">
      <c r="A115" s="3303">
        <v>43</v>
      </c>
      <c r="B115" s="3716"/>
      <c r="C115" s="3303" t="s">
        <v>2968</v>
      </c>
      <c r="D115" s="3284" t="s">
        <v>2969</v>
      </c>
      <c r="E115" s="3309">
        <v>0.1</v>
      </c>
      <c r="F115" s="3303">
        <v>15</v>
      </c>
    </row>
    <row r="116" spans="1:6" ht="24">
      <c r="A116" s="3303">
        <v>44</v>
      </c>
      <c r="B116" s="3717" t="s">
        <v>2970</v>
      </c>
      <c r="C116" s="3303" t="s">
        <v>2971</v>
      </c>
      <c r="D116" s="3284" t="s">
        <v>2972</v>
      </c>
      <c r="E116" s="3309">
        <v>0.1</v>
      </c>
      <c r="F116" s="3303">
        <v>15</v>
      </c>
    </row>
    <row r="117" spans="1:6" ht="24">
      <c r="A117" s="3303">
        <v>45</v>
      </c>
      <c r="B117" s="3718"/>
      <c r="C117" s="3284" t="s">
        <v>2973</v>
      </c>
      <c r="D117" s="3284" t="s">
        <v>2974</v>
      </c>
      <c r="E117" s="3309">
        <v>0.1</v>
      </c>
      <c r="F117" s="3303">
        <v>15</v>
      </c>
    </row>
    <row r="118" spans="1:6" ht="24">
      <c r="A118" s="3303">
        <v>46</v>
      </c>
      <c r="B118" s="3717" t="s">
        <v>2975</v>
      </c>
      <c r="C118" s="3303" t="s">
        <v>2976</v>
      </c>
      <c r="D118" s="3284" t="s">
        <v>2977</v>
      </c>
      <c r="E118" s="3309">
        <v>0.1</v>
      </c>
      <c r="F118" s="3303">
        <v>15</v>
      </c>
    </row>
    <row r="119" spans="1:6" ht="24">
      <c r="A119" s="3303">
        <v>47</v>
      </c>
      <c r="B119" s="3718"/>
      <c r="C119" s="3303" t="s">
        <v>2978</v>
      </c>
      <c r="D119" s="3284" t="s">
        <v>2979</v>
      </c>
      <c r="E119" s="3309">
        <v>0.1</v>
      </c>
      <c r="F119" s="3303">
        <v>15</v>
      </c>
    </row>
    <row r="120" spans="1:6" ht="24">
      <c r="A120" s="3303">
        <v>48</v>
      </c>
      <c r="B120" s="3717" t="s">
        <v>2980</v>
      </c>
      <c r="C120" s="3303" t="s">
        <v>2981</v>
      </c>
      <c r="D120" s="3284" t="s">
        <v>2982</v>
      </c>
      <c r="E120" s="3309">
        <v>0.1</v>
      </c>
      <c r="F120" s="3303">
        <v>15</v>
      </c>
    </row>
    <row r="121" spans="1:6" ht="13.5">
      <c r="A121" s="3303">
        <v>49</v>
      </c>
      <c r="B121" s="3718"/>
      <c r="C121" s="3303" t="s">
        <v>2983</v>
      </c>
      <c r="D121" s="3284" t="s">
        <v>2984</v>
      </c>
      <c r="E121" s="3309">
        <v>0.1</v>
      </c>
      <c r="F121" s="3303">
        <v>15</v>
      </c>
    </row>
    <row r="122" spans="1:6" ht="24">
      <c r="A122" s="3303">
        <v>50</v>
      </c>
      <c r="B122" s="3716" t="s">
        <v>2985</v>
      </c>
      <c r="C122" s="3303" t="s">
        <v>2986</v>
      </c>
      <c r="D122" s="3284" t="s">
        <v>2987</v>
      </c>
      <c r="E122" s="3309">
        <v>0.1</v>
      </c>
      <c r="F122" s="3303">
        <v>15</v>
      </c>
    </row>
    <row r="123" spans="1:6" ht="24">
      <c r="A123" s="3303">
        <v>51</v>
      </c>
      <c r="B123" s="3716"/>
      <c r="C123" s="3303" t="s">
        <v>2988</v>
      </c>
      <c r="D123" s="3284" t="s">
        <v>2989</v>
      </c>
      <c r="E123" s="3309">
        <v>0.1</v>
      </c>
      <c r="F123" s="3303">
        <v>15</v>
      </c>
    </row>
    <row r="124" spans="1:6" ht="24">
      <c r="A124" s="3303">
        <v>52</v>
      </c>
      <c r="B124" s="3716" t="s">
        <v>2990</v>
      </c>
      <c r="C124" s="3303" t="s">
        <v>2991</v>
      </c>
      <c r="D124" s="3284" t="s">
        <v>2992</v>
      </c>
      <c r="E124" s="3309">
        <v>0.1</v>
      </c>
      <c r="F124" s="3303">
        <v>15</v>
      </c>
    </row>
    <row r="125" spans="1:6" ht="24">
      <c r="A125" s="3303">
        <v>53</v>
      </c>
      <c r="B125" s="3716"/>
      <c r="C125" s="3303" t="s">
        <v>2993</v>
      </c>
      <c r="D125" s="3284" t="s">
        <v>2994</v>
      </c>
      <c r="E125" s="3309">
        <v>0.1</v>
      </c>
      <c r="F125" s="3303">
        <v>15</v>
      </c>
    </row>
    <row r="126" spans="1:6" ht="24">
      <c r="A126" s="3303">
        <v>54</v>
      </c>
      <c r="B126" s="3303" t="s">
        <v>2995</v>
      </c>
      <c r="C126" s="3303" t="s">
        <v>2996</v>
      </c>
      <c r="D126" s="3284" t="s">
        <v>2997</v>
      </c>
      <c r="E126" s="3309">
        <v>0.1</v>
      </c>
      <c r="F126" s="3303">
        <v>15</v>
      </c>
    </row>
    <row r="127" spans="1:6" ht="13.5">
      <c r="A127" s="3303">
        <v>55</v>
      </c>
      <c r="B127" s="3716" t="s">
        <v>2998</v>
      </c>
      <c r="C127" s="3303" t="s">
        <v>2999</v>
      </c>
      <c r="D127" s="3284" t="s">
        <v>3000</v>
      </c>
      <c r="E127" s="3309">
        <v>0.1</v>
      </c>
      <c r="F127" s="3303">
        <v>15</v>
      </c>
    </row>
    <row r="128" spans="1:6" ht="13.5">
      <c r="A128" s="3303">
        <v>56</v>
      </c>
      <c r="B128" s="3716"/>
      <c r="C128" s="3303" t="s">
        <v>3001</v>
      </c>
      <c r="D128" s="3284" t="s">
        <v>3002</v>
      </c>
      <c r="E128" s="3309">
        <v>0.1</v>
      </c>
      <c r="F128" s="3303">
        <v>15</v>
      </c>
    </row>
    <row r="129" spans="1:6" ht="24">
      <c r="A129" s="3303">
        <v>57</v>
      </c>
      <c r="B129" s="3716"/>
      <c r="C129" s="3303" t="s">
        <v>3003</v>
      </c>
      <c r="D129" s="3284" t="s">
        <v>3004</v>
      </c>
      <c r="E129" s="3309">
        <v>0.1</v>
      </c>
      <c r="F129" s="3303">
        <v>15</v>
      </c>
    </row>
    <row r="130" spans="1:6" ht="24">
      <c r="A130" s="3303">
        <v>58</v>
      </c>
      <c r="B130" s="3716" t="s">
        <v>3005</v>
      </c>
      <c r="C130" s="3303" t="s">
        <v>3006</v>
      </c>
      <c r="D130" s="3284" t="s">
        <v>3007</v>
      </c>
      <c r="E130" s="3309">
        <v>0.1</v>
      </c>
      <c r="F130" s="3303">
        <v>15</v>
      </c>
    </row>
    <row r="131" spans="1:6" ht="24">
      <c r="A131" s="3303">
        <v>59</v>
      </c>
      <c r="B131" s="3716"/>
      <c r="C131" s="3303" t="s">
        <v>3008</v>
      </c>
      <c r="D131" s="3284" t="s">
        <v>3009</v>
      </c>
      <c r="E131" s="3309">
        <v>0.1</v>
      </c>
      <c r="F131" s="3303">
        <v>15</v>
      </c>
    </row>
    <row r="132" spans="1:6" ht="24">
      <c r="A132" s="3303">
        <v>60</v>
      </c>
      <c r="B132" s="3717" t="s">
        <v>3010</v>
      </c>
      <c r="C132" s="3303" t="s">
        <v>3011</v>
      </c>
      <c r="D132" s="3284" t="s">
        <v>3012</v>
      </c>
      <c r="E132" s="3309">
        <v>0.1</v>
      </c>
      <c r="F132" s="3303">
        <v>15</v>
      </c>
    </row>
    <row r="133" spans="1:6" ht="24">
      <c r="A133" s="3303">
        <v>61</v>
      </c>
      <c r="B133" s="3718"/>
      <c r="C133" s="3303" t="s">
        <v>3013</v>
      </c>
      <c r="D133" s="3284" t="s">
        <v>3014</v>
      </c>
      <c r="E133" s="3309">
        <v>0.1</v>
      </c>
      <c r="F133" s="3303">
        <v>15</v>
      </c>
    </row>
    <row r="134" spans="1:6" ht="24">
      <c r="A134" s="3303">
        <v>62</v>
      </c>
      <c r="B134" s="3303" t="s">
        <v>3015</v>
      </c>
      <c r="C134" s="3303" t="s">
        <v>3016</v>
      </c>
      <c r="D134" s="3284" t="s">
        <v>3017</v>
      </c>
      <c r="E134" s="3309">
        <v>0.1</v>
      </c>
      <c r="F134" s="3303">
        <v>15</v>
      </c>
    </row>
    <row r="135" spans="1:6" ht="24">
      <c r="A135" s="3303">
        <v>63</v>
      </c>
      <c r="B135" s="3716" t="s">
        <v>3018</v>
      </c>
      <c r="C135" s="3303" t="s">
        <v>3019</v>
      </c>
      <c r="D135" s="3284" t="s">
        <v>3020</v>
      </c>
      <c r="E135" s="3309">
        <v>0.1</v>
      </c>
      <c r="F135" s="3303">
        <v>15</v>
      </c>
    </row>
    <row r="136" spans="1:6" ht="13.5">
      <c r="A136" s="3303">
        <v>64</v>
      </c>
      <c r="B136" s="3716"/>
      <c r="C136" s="3303" t="s">
        <v>3021</v>
      </c>
      <c r="D136" s="3284" t="s">
        <v>3022</v>
      </c>
      <c r="E136" s="3309">
        <v>0.1</v>
      </c>
      <c r="F136" s="3303">
        <v>15</v>
      </c>
    </row>
    <row r="137" spans="1:6" ht="24">
      <c r="A137" s="3303">
        <v>65</v>
      </c>
      <c r="B137" s="3303" t="s">
        <v>3023</v>
      </c>
      <c r="C137" s="3303" t="s">
        <v>3024</v>
      </c>
      <c r="D137" s="3284" t="s">
        <v>3025</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W5" sqref="W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3" t="s">
        <v>782</v>
      </c>
      <c r="C1" s="3733"/>
      <c r="D1" s="3733"/>
      <c r="E1" s="3733"/>
      <c r="F1" s="3733"/>
      <c r="G1" s="3732" t="s">
        <v>783</v>
      </c>
      <c r="H1" s="3732"/>
      <c r="I1" s="3732"/>
      <c r="J1" s="3732"/>
      <c r="K1" s="3732"/>
      <c r="L1" s="3732"/>
      <c r="N1" s="3732" t="s">
        <v>784</v>
      </c>
      <c r="O1" s="3732"/>
      <c r="P1" s="3732"/>
      <c r="Q1" s="3732"/>
      <c r="S1" s="3732" t="s">
        <v>785</v>
      </c>
      <c r="T1" s="3732"/>
      <c r="U1" s="3732"/>
      <c r="V1" s="3732"/>
      <c r="X1" s="3731" t="s">
        <v>786</v>
      </c>
      <c r="Y1" s="3732"/>
      <c r="Z1" s="3732"/>
      <c r="AA1" s="3732"/>
      <c r="AB1" s="3732"/>
      <c r="AD1" s="3731" t="s">
        <v>787</v>
      </c>
      <c r="AE1" s="3732"/>
      <c r="AF1" s="3732"/>
      <c r="AG1" s="3732"/>
      <c r="AH1" s="3732"/>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2463</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2799</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5" customHeight="1">
      <c r="A6" s="2287" t="s">
        <v>2798</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5" customHeight="1">
      <c r="A7" s="2287" t="s">
        <v>2797</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5" customHeight="1">
      <c r="A8" s="2287" t="s">
        <v>2796</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5" customHeight="1">
      <c r="A9" s="2287" t="s">
        <v>2795</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5"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2640</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2639</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9">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9"/>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9"/>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8"/>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34">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9"/>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9"/>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8"/>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4">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9"/>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9"/>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0"/>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8">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9"/>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9"/>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0"/>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8">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9"/>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9"/>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0"/>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5">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6"/>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6"/>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7"/>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8">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9"/>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9"/>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0"/>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8">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9">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9">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0">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8">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9">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9">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0">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8">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9">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9">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0">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8">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9">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9">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0">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8">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9">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9">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0">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8">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9">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9">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0">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8">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9">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9">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0">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8">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9">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9">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0">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8">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9">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9">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0">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8">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9">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9">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0">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44676</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4.25">
      <c r="A19" s="3068"/>
      <c r="B19" s="1209" t="s">
        <v>2641</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5"/>
  <sheetViews>
    <sheetView workbookViewId="0">
      <selection activeCell="L52" sqref="L52"/>
    </sheetView>
  </sheetViews>
  <sheetFormatPr defaultRowHeight="13.5"/>
  <cols>
    <col min="4" max="4" width="13" bestFit="1" customWidth="1"/>
  </cols>
  <sheetData>
    <row r="3" spans="2:8">
      <c r="B3" s="1269" t="s">
        <v>3039</v>
      </c>
      <c r="C3" s="1269" t="s">
        <v>3040</v>
      </c>
      <c r="D3" s="1269" t="s">
        <v>3041</v>
      </c>
      <c r="E3" s="1269" t="s">
        <v>3042</v>
      </c>
    </row>
    <row r="4" spans="2:8">
      <c r="B4" s="1269" t="s">
        <v>3037</v>
      </c>
      <c r="C4">
        <v>176.29</v>
      </c>
      <c r="D4">
        <v>43.2</v>
      </c>
      <c r="E4">
        <f>ROUND(C4/D4,2)</f>
        <v>4.08</v>
      </c>
      <c r="G4">
        <v>30000</v>
      </c>
      <c r="H4">
        <f>ROUND(G4*C4/10000,0)</f>
        <v>529</v>
      </c>
    </row>
    <row r="5" spans="2:8">
      <c r="B5" s="1269" t="s">
        <v>3038</v>
      </c>
      <c r="C5">
        <v>88.15</v>
      </c>
      <c r="D5">
        <f>ROUND(C5/E4,2)</f>
        <v>21.61</v>
      </c>
      <c r="G5">
        <f>G4</f>
        <v>30000</v>
      </c>
      <c r="H5">
        <f>ROUND(G5*C5/10000,0)</f>
        <v>264</v>
      </c>
    </row>
  </sheetData>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44:F166"/>
  <sheetViews>
    <sheetView topLeftCell="A130" workbookViewId="0">
      <selection activeCell="L52" sqref="L52"/>
    </sheetView>
  </sheetViews>
  <sheetFormatPr defaultRowHeight="13.5"/>
  <sheetData>
    <row r="144" spans="4:6">
      <c r="D144" s="1269" t="s">
        <v>3049</v>
      </c>
      <c r="E144" s="1269" t="s">
        <v>3050</v>
      </c>
      <c r="F144" s="1269" t="s">
        <v>3051</v>
      </c>
    </row>
    <row r="145" spans="3:6">
      <c r="C145" s="1269" t="s">
        <v>3048</v>
      </c>
      <c r="D145">
        <v>460</v>
      </c>
      <c r="E145" s="1269" t="s">
        <v>3060</v>
      </c>
      <c r="F145">
        <v>28000</v>
      </c>
    </row>
    <row r="146" spans="3:6">
      <c r="C146" t="str">
        <f>C145</f>
        <v>科技财富中心</v>
      </c>
      <c r="D146">
        <v>1786</v>
      </c>
      <c r="E146" s="1269" t="s">
        <v>3052</v>
      </c>
      <c r="F146">
        <v>30000</v>
      </c>
    </row>
    <row r="147" spans="3:6">
      <c r="C147" t="str">
        <f>C145</f>
        <v>科技财富中心</v>
      </c>
      <c r="D147">
        <v>280</v>
      </c>
      <c r="E147" s="1269" t="s">
        <v>3053</v>
      </c>
      <c r="F147">
        <v>30000</v>
      </c>
    </row>
    <row r="148" spans="3:6">
      <c r="C148" s="1269" t="s">
        <v>3061</v>
      </c>
      <c r="D148">
        <v>400</v>
      </c>
      <c r="E148" s="1269" t="s">
        <v>3052</v>
      </c>
      <c r="F148">
        <v>33000</v>
      </c>
    </row>
    <row r="149" spans="3:6">
      <c r="C149" t="str">
        <f>C148</f>
        <v>金码大厦</v>
      </c>
      <c r="D149">
        <v>251</v>
      </c>
      <c r="E149" s="1269" t="s">
        <v>3052</v>
      </c>
      <c r="F149">
        <v>33100</v>
      </c>
    </row>
    <row r="150" spans="3:6">
      <c r="E150" s="1269"/>
    </row>
    <row r="151" spans="3:6">
      <c r="C151" s="3326"/>
      <c r="D151" s="3329"/>
    </row>
    <row r="152" spans="3:6">
      <c r="D152" s="3329"/>
    </row>
    <row r="153" spans="3:6">
      <c r="D153" s="3329"/>
    </row>
    <row r="154" spans="3:6">
      <c r="D154" s="3329"/>
    </row>
    <row r="155" spans="3:6">
      <c r="D155" s="3329"/>
    </row>
    <row r="156" spans="3:6">
      <c r="D156" s="3329"/>
    </row>
    <row r="157" spans="3:6">
      <c r="D157" s="3329"/>
    </row>
    <row r="158" spans="3:6">
      <c r="D158" s="3329"/>
    </row>
    <row r="159" spans="3:6">
      <c r="D159" s="3329"/>
    </row>
    <row r="160" spans="3:6">
      <c r="D160" s="3329"/>
    </row>
    <row r="161" spans="4:4">
      <c r="D161" s="3329"/>
    </row>
    <row r="162" spans="4:4">
      <c r="D162" s="3329"/>
    </row>
    <row r="163" spans="4:4">
      <c r="D163" s="3329"/>
    </row>
    <row r="164" spans="4:4">
      <c r="D164" s="3329"/>
    </row>
    <row r="165" spans="4:4">
      <c r="D165" s="3329"/>
    </row>
    <row r="166" spans="4:4">
      <c r="D166" s="3329"/>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5"/>
      <c r="C2" s="3335"/>
      <c r="D2" s="3335"/>
      <c r="E2" s="3335"/>
    </row>
    <row r="3" spans="1:5" ht="13.5" customHeight="1">
      <c r="A3" s="1290"/>
      <c r="B3" s="1290"/>
      <c r="C3" s="1290"/>
      <c r="D3" s="1290"/>
      <c r="E3" s="1290"/>
    </row>
    <row r="4" spans="1:5" ht="19.5" thickBot="1">
      <c r="A4" s="3336" t="str">
        <f>IF(项目基本情况!D5="房地产市场价值","估价结果一览表（市场价值不需本页表格)","估价结果一览表")</f>
        <v>估价结果一览表</v>
      </c>
      <c r="B4" s="3336"/>
      <c r="C4" s="3336"/>
      <c r="D4" s="3336"/>
      <c r="E4" s="3336"/>
    </row>
    <row r="5" spans="1:5" ht="14.25" customHeight="1" thickTop="1">
      <c r="A5" s="1287"/>
      <c r="B5" s="1291" t="s">
        <v>562</v>
      </c>
      <c r="C5" s="3337" t="s">
        <v>593</v>
      </c>
      <c r="D5" s="3338"/>
      <c r="E5" s="1287"/>
    </row>
    <row r="6" spans="1:5" ht="14.25">
      <c r="A6" s="1287"/>
      <c r="B6" s="1292" t="str">
        <f>项目基本情况!I1</f>
        <v>北京市房地产</v>
      </c>
      <c r="C6" s="3339">
        <f>项目基本情况!C12</f>
        <v>176.29</v>
      </c>
      <c r="D6" s="3339"/>
      <c r="E6" s="1287"/>
    </row>
    <row r="7" spans="1:5" ht="14.25">
      <c r="A7" s="1287"/>
      <c r="B7" s="3333" t="s">
        <v>594</v>
      </c>
      <c r="C7" s="1293" t="str">
        <f>IF('数据-取费表'!B3="万元","总价（万元）","总价（元）")</f>
        <v>总价（万元）</v>
      </c>
      <c r="D7" s="1294">
        <f ca="1">IF('数据-取费表'!E3="否",结果表!I102,'结果表 (1修多)'!I104)</f>
        <v>558</v>
      </c>
      <c r="E7" s="1287"/>
    </row>
    <row r="8" spans="1:5" ht="14.25">
      <c r="A8" s="1287"/>
      <c r="B8" s="3333"/>
      <c r="C8" s="1295" t="s">
        <v>924</v>
      </c>
      <c r="D8" s="1296" t="str">
        <f ca="1">IF('数据-取费表'!B3="万元",NUMBERSTRING(INT(D7*10000),2)&amp;"元整",NUMBERSTRING(INT(D7),2)&amp;"元整")</f>
        <v>伍佰伍拾捌万元整</v>
      </c>
      <c r="E8" s="1287"/>
    </row>
    <row r="9" spans="1:5" ht="14.25">
      <c r="A9" s="1287"/>
      <c r="B9" s="3333"/>
      <c r="C9" s="1297" t="s">
        <v>1020</v>
      </c>
      <c r="D9" s="1294">
        <f ca="1">IF('数据-取费表'!E3="否",结果表!I103,'结果表 (1修多)'!I105)</f>
        <v>31652</v>
      </c>
      <c r="E9" s="1287"/>
    </row>
    <row r="10" spans="1:5" ht="14.25">
      <c r="A10" s="1287"/>
      <c r="B10" s="3340"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0"/>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0" t="str">
        <f>IF('数据-取费表'!E3="否",结果表!F110,'结果表 (1修多)'!F112)</f>
        <v>3.房地产抵押价值</v>
      </c>
      <c r="C15" s="1288" t="str">
        <f>C7</f>
        <v>总价（万元）</v>
      </c>
      <c r="D15" s="1294">
        <f ca="1">IF('数据-取费表'!E3="否",结果表!I110,'结果表 (1修多)'!I112)</f>
        <v>558</v>
      </c>
      <c r="E15" s="1287"/>
    </row>
    <row r="16" spans="1:5" ht="14.25">
      <c r="A16" s="1287"/>
      <c r="B16" s="3340"/>
      <c r="C16" s="1295" t="s">
        <v>924</v>
      </c>
      <c r="D16" s="1294" t="str">
        <f ca="1">IF('数据-取费表'!B3="万元",NUMBERSTRING(INT(D15*10000),2)&amp;"元整",NUMBERSTRING(INT(D15),2)&amp;"元整")</f>
        <v>伍佰伍拾捌万元整</v>
      </c>
      <c r="E16" s="1287"/>
    </row>
    <row r="17" spans="1:5" ht="14.25">
      <c r="A17" s="1287"/>
      <c r="B17" s="3340"/>
      <c r="C17" s="1297" t="s">
        <v>1020</v>
      </c>
      <c r="D17" s="1294">
        <f ca="1">IF('数据-取费表'!E3="否",结果表!I111,'结果表 (1修多)'!I113)</f>
        <v>31652</v>
      </c>
      <c r="E17" s="1287"/>
    </row>
    <row r="18" spans="1:5" ht="14.25">
      <c r="A18" s="1287"/>
      <c r="B18" s="3340" t="str">
        <f>IF('数据-取费表'!E3="否",结果表!F112,'结果表 (1修多)'!F114)</f>
        <v>——</v>
      </c>
      <c r="C18" s="1288" t="str">
        <f>C7</f>
        <v>总价（万元）</v>
      </c>
      <c r="D18" s="1294" t="str">
        <f>IF('数据-取费表'!E3="否",结果表!I112,'结果表 (1修多)'!I114)</f>
        <v>——</v>
      </c>
      <c r="E18" s="1287"/>
    </row>
    <row r="19" spans="1:5" ht="14.25">
      <c r="A19" s="1287"/>
      <c r="B19" s="3340"/>
      <c r="C19" s="1295" t="s">
        <v>924</v>
      </c>
      <c r="D19" s="1294" t="e">
        <f>IF('数据-取费表'!B3="万元",NUMBERSTRING(INT(D18*10000),2)&amp;"元整",NUMBERSTRING(INT(D18),2)&amp;"元整")</f>
        <v>#VALUE!</v>
      </c>
      <c r="E19" s="1287"/>
    </row>
    <row r="20" spans="1:5" ht="14.25">
      <c r="A20" s="1287"/>
      <c r="B20" s="3340"/>
      <c r="C20" s="1297" t="s">
        <v>1020</v>
      </c>
      <c r="D20" s="1294" t="str">
        <f>IF('数据-取费表'!E3="否",结果表!I113,'结果表 (1修多)'!I115)</f>
        <v>——</v>
      </c>
      <c r="E20" s="1287"/>
    </row>
    <row r="21" spans="1:5" ht="14.25">
      <c r="A21" s="1287"/>
      <c r="B21" s="3333" t="str">
        <f>IF('数据-取费表'!E3="否",结果表!F114,'结果表 (1修多)'!F116)</f>
        <v>——</v>
      </c>
      <c r="C21" s="1293" t="str">
        <f>C7</f>
        <v>总价（万元）</v>
      </c>
      <c r="D21" s="1294" t="str">
        <f>IF('数据-取费表'!E3="否",结果表!I114,'结果表 (1修多)'!I116)</f>
        <v>——</v>
      </c>
      <c r="E21" s="1287"/>
    </row>
    <row r="22" spans="1:5" ht="14.25">
      <c r="A22" s="1287"/>
      <c r="B22" s="3333"/>
      <c r="C22" s="1295" t="s">
        <v>924</v>
      </c>
      <c r="D22" s="1296" t="e">
        <f>IF('数据-取费表'!B3="万元",NUMBERSTRING(INT(D21*10000),2)&amp;"元整",NUMBERSTRING(INT(D21),2)&amp;"元整")</f>
        <v>#VALUE!</v>
      </c>
      <c r="E22" s="1287"/>
    </row>
    <row r="23" spans="1:5" ht="15" thickBot="1">
      <c r="A23" s="1287"/>
      <c r="B23" s="3334"/>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8" t="s">
        <v>1021</v>
      </c>
      <c r="C25" s="3348"/>
      <c r="D25" s="3348"/>
      <c r="E25" s="1287"/>
    </row>
    <row r="26" spans="1:5" ht="18.75" customHeight="1" thickTop="1">
      <c r="A26" s="1287"/>
      <c r="B26" s="3351" t="s">
        <v>923</v>
      </c>
      <c r="C26" s="3352"/>
      <c r="D26" s="3349" t="s">
        <v>922</v>
      </c>
      <c r="E26" s="1287"/>
    </row>
    <row r="27" spans="1:5" ht="18.75" customHeight="1">
      <c r="A27" s="1287"/>
      <c r="B27" s="3353"/>
      <c r="C27" s="3354"/>
      <c r="D27" s="3350"/>
      <c r="E27" s="1287"/>
    </row>
    <row r="28" spans="1:5" ht="14.25">
      <c r="A28" s="1287"/>
      <c r="B28" s="3341" t="s">
        <v>594</v>
      </c>
      <c r="C28" s="1304" t="s">
        <v>925</v>
      </c>
      <c r="D28" s="1305">
        <f ca="1">IF('数据-取费表'!E3="否",结果表!I102,'结果表 (1修多)'!I104)</f>
        <v>558</v>
      </c>
      <c r="E28" s="1287"/>
    </row>
    <row r="29" spans="1:5" ht="14.25">
      <c r="A29" s="1287"/>
      <c r="B29" s="3342"/>
      <c r="C29" s="1306" t="s">
        <v>924</v>
      </c>
      <c r="D29" s="1307" t="str">
        <f ca="1">IF('数据-取费表'!B3="万元",NUMBERSTRING(INT(D28*10000),2)&amp;"元整",NUMBERSTRING(INT(D28),2)&amp;"元整")</f>
        <v>伍佰伍拾捌万元整</v>
      </c>
      <c r="E29" s="1287"/>
    </row>
    <row r="30" spans="1:5" ht="14.25">
      <c r="A30" s="1287"/>
      <c r="B30" s="3343"/>
      <c r="C30" s="1297" t="s">
        <v>927</v>
      </c>
      <c r="D30" s="1308">
        <f ca="1">IF('数据-取费表'!E3="否",结果表!I103,'结果表 (1修多)'!I105)</f>
        <v>31652</v>
      </c>
      <c r="E30" s="1287"/>
    </row>
    <row r="31" spans="1:5" ht="14.25">
      <c r="A31" s="1287"/>
      <c r="B31" s="3346" t="str">
        <f>B10</f>
        <v>2.估价师所知悉的法定优先受偿款</v>
      </c>
      <c r="C31" s="1309" t="s">
        <v>926</v>
      </c>
      <c r="D31" s="1310">
        <f>IF('数据-取费表'!E3="否",结果表!I105,'结果表 (1修多)'!I107)</f>
        <v>0</v>
      </c>
      <c r="E31" s="1287"/>
    </row>
    <row r="32" spans="1:5" ht="14.25">
      <c r="A32" s="1287"/>
      <c r="B32" s="3355"/>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4" t="str">
        <f>B15</f>
        <v>3.房地产抵押价值</v>
      </c>
      <c r="C36" s="1309" t="str">
        <f>C28</f>
        <v>总价</v>
      </c>
      <c r="D36" s="1310">
        <f ca="1">IF('数据-取费表'!E3="否",结果表!I110,'结果表 (1修多)'!I112)</f>
        <v>558</v>
      </c>
      <c r="E36" s="1287"/>
    </row>
    <row r="37" spans="1:5" ht="14.25">
      <c r="A37" s="1287"/>
      <c r="B37" s="3344"/>
      <c r="C37" s="1306" t="s">
        <v>924</v>
      </c>
      <c r="D37" s="1311" t="str">
        <f ca="1">IF('数据-取费表'!B3="万元",NUMBERSTRING(INT(D36*10000),2)&amp;"元整",NUMBERSTRING(INT(D36),2)&amp;"元整")</f>
        <v>伍佰伍拾捌万元整</v>
      </c>
      <c r="E37" s="1287"/>
    </row>
    <row r="38" spans="1:5" ht="14.25">
      <c r="A38" s="1287"/>
      <c r="B38" s="3344"/>
      <c r="C38" s="1297" t="s">
        <v>928</v>
      </c>
      <c r="D38" s="1308">
        <f ca="1">IF('数据-取费表'!E3="否",结果表!D113,'结果表 (1修多)'!D117)</f>
        <v>31652</v>
      </c>
      <c r="E38" s="1287"/>
    </row>
    <row r="39" spans="1:5" ht="14.25">
      <c r="A39" s="1287"/>
      <c r="B39" s="3345" t="str">
        <f>B18</f>
        <v>——</v>
      </c>
      <c r="C39" s="1309" t="str">
        <f>C28</f>
        <v>总价</v>
      </c>
      <c r="D39" s="1310" t="str">
        <f>IF('数据-取费表'!E3="否",结果表!I112,'结果表 (1修多)'!I114)</f>
        <v>——</v>
      </c>
      <c r="E39" s="1287"/>
    </row>
    <row r="40" spans="1:5" ht="14.25">
      <c r="A40" s="1287"/>
      <c r="B40" s="3345"/>
      <c r="C40" s="1306" t="s">
        <v>924</v>
      </c>
      <c r="D40" s="1311" t="e">
        <f>IF('数据-取费表'!B3="万元",NUMBERSTRING(INT(D39*10000),2)&amp;"元整",NUMBERSTRING(INT(D39),2)&amp;"元整")</f>
        <v>#VALUE!</v>
      </c>
      <c r="E40" s="1287"/>
    </row>
    <row r="41" spans="1:5" ht="14.25">
      <c r="A41" s="1287"/>
      <c r="B41" s="3345"/>
      <c r="C41" s="1297" t="s">
        <v>928</v>
      </c>
      <c r="D41" s="1308" t="str">
        <f>IF('数据-取费表'!E3="否",结果表!D115,'结果表 (1修多)'!D119)</f>
        <v>——</v>
      </c>
      <c r="E41" s="1287"/>
    </row>
    <row r="42" spans="1:5" ht="14.25">
      <c r="A42" s="1287"/>
      <c r="B42" s="3344" t="str">
        <f>B21</f>
        <v>——</v>
      </c>
      <c r="C42" s="1309" t="str">
        <f>C28</f>
        <v>总价</v>
      </c>
      <c r="D42" s="1310" t="str">
        <f>IF('数据-取费表'!E3="否",结果表!I114,'结果表 (1修多)'!I116)</f>
        <v>——</v>
      </c>
      <c r="E42" s="1287"/>
    </row>
    <row r="43" spans="1:5" ht="14.25">
      <c r="A43" s="1287"/>
      <c r="B43" s="3346"/>
      <c r="C43" s="1306" t="s">
        <v>924</v>
      </c>
      <c r="D43" s="1312" t="e">
        <f>IF('数据-取费表'!B3="万元",NUMBERSTRING(INT(D42*10000),2)&amp;"元整",NUMBERSTRING(INT(D42),2)&amp;"元整")</f>
        <v>#VALUE!</v>
      </c>
      <c r="E43" s="1287"/>
    </row>
    <row r="44" spans="1:5" ht="15" thickBot="1">
      <c r="A44" s="1287"/>
      <c r="B44" s="3347"/>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2" t="str">
        <f>IF(项目基本情况!D5="房地产市场价值","估价结果一览表","结果表-2")</f>
        <v>结果表-2</v>
      </c>
      <c r="B1" s="3362"/>
      <c r="C1" s="3362"/>
      <c r="D1" s="3362"/>
      <c r="E1" s="3362"/>
      <c r="F1" s="3362"/>
      <c r="G1" s="3362"/>
      <c r="H1" s="3362"/>
      <c r="I1" s="3362"/>
    </row>
    <row r="2" spans="1:9" ht="30" customHeight="1" thickTop="1">
      <c r="A2" s="3363" t="s">
        <v>1022</v>
      </c>
      <c r="B2" s="3363" t="s">
        <v>1023</v>
      </c>
      <c r="C2" s="3363" t="s">
        <v>1024</v>
      </c>
      <c r="D2" s="3363" t="str">
        <f>IF('数据-取费表'!E3="否",结果表!D119,'结果表 (1修多)'!D123)</f>
        <v>出让国有建设用地使用权价值</v>
      </c>
      <c r="E2" s="3363"/>
      <c r="F2" s="3363" t="s">
        <v>1025</v>
      </c>
      <c r="G2" s="3363"/>
      <c r="H2" s="3363" t="s">
        <v>1026</v>
      </c>
      <c r="I2" s="3363"/>
    </row>
    <row r="3" spans="1:9" ht="15">
      <c r="A3" s="3358"/>
      <c r="B3" s="3358"/>
      <c r="C3" s="3358"/>
      <c r="D3" s="776" t="s">
        <v>1027</v>
      </c>
      <c r="E3" s="776" t="s">
        <v>1028</v>
      </c>
      <c r="F3" s="776" t="s">
        <v>1027</v>
      </c>
      <c r="G3" s="776" t="s">
        <v>1029</v>
      </c>
      <c r="H3" s="776" t="s">
        <v>1027</v>
      </c>
      <c r="I3" s="776" t="s">
        <v>1029</v>
      </c>
    </row>
    <row r="4" spans="1:9" ht="46.5" customHeight="1">
      <c r="A4" s="776" t="str">
        <f>项目基本情况!I1</f>
        <v>北京市房地产</v>
      </c>
      <c r="B4" s="776">
        <f>结果表!B121</f>
        <v>176.29</v>
      </c>
      <c r="C4" s="776">
        <f>结果表!C121</f>
        <v>43.2</v>
      </c>
      <c r="D4" s="776">
        <f ca="1">IF('数据-取费表'!E3="否",结果表!D121,'结果表 (1修多)'!D125)</f>
        <v>483</v>
      </c>
      <c r="E4" s="776">
        <f ca="1">IF('数据-取费表'!E3="否",结果表!E121,'结果表 (1修多)'!E125)</f>
        <v>27398</v>
      </c>
      <c r="F4" s="776">
        <f ca="1">IF('数据-取费表'!E3="否",结果表!F121,'结果表 (1修多)'!F125)</f>
        <v>75</v>
      </c>
      <c r="G4" s="776">
        <f ca="1">IF('数据-取费表'!E3="否",结果表!G121,'结果表 (1修多)'!G125)</f>
        <v>4254</v>
      </c>
      <c r="H4" s="776">
        <f ca="1">IF('数据-取费表'!E3="否",结果表!H121,'结果表 (1修多)'!H125)</f>
        <v>558</v>
      </c>
      <c r="I4" s="776">
        <f ca="1">IF('数据-取费表'!E3="否",结果表!I121,'结果表 (1修多)'!I125)</f>
        <v>31652</v>
      </c>
    </row>
    <row r="5" spans="1:9" ht="15">
      <c r="A5" s="3358" t="s">
        <v>1030</v>
      </c>
      <c r="B5" s="3358"/>
      <c r="C5" s="3358"/>
      <c r="D5" s="3356" t="str">
        <f ca="1">IF('数据-取费表'!E3="否",结果表!D122,'结果表 (1修多)'!D126)</f>
        <v>肆佰捌拾叁万元整</v>
      </c>
      <c r="E5" s="3356"/>
      <c r="F5" s="3356" t="str">
        <f ca="1">IF('数据-取费表'!E3="否",结果表!F122,'结果表 (1修多)'!F126)</f>
        <v>柒拾伍万元整</v>
      </c>
      <c r="G5" s="3356"/>
      <c r="H5" s="3356" t="str">
        <f ca="1">IF('数据-取费表'!E3="否",结果表!H122,'结果表 (1修多)'!H126)</f>
        <v>伍佰伍拾捌万元整</v>
      </c>
      <c r="I5" s="3356"/>
    </row>
    <row r="6" spans="1:9" ht="15.75">
      <c r="A6" s="3357" t="str">
        <f>IF('数据-取费表'!E3="否",结果表!A123,'结果表 (1修多)'!A127)</f>
        <v>估价师所知悉的法定优先受偿款</v>
      </c>
      <c r="B6" s="3357"/>
      <c r="C6" s="3357"/>
      <c r="D6" s="3357">
        <f>IF('数据-取费表'!E3="否",结果表!D123,'结果表 (1修多)'!D127)</f>
        <v>0</v>
      </c>
      <c r="E6" s="3357"/>
      <c r="F6" s="3357"/>
      <c r="G6" s="3357"/>
      <c r="H6" s="3357"/>
      <c r="I6" s="3357"/>
    </row>
    <row r="7" spans="1:9" ht="15">
      <c r="A7" s="3358" t="s">
        <v>1030</v>
      </c>
      <c r="B7" s="3358"/>
      <c r="C7" s="3358"/>
      <c r="D7" s="3359">
        <f>IF('数据-取费表'!E3="否",结果表!D124,'结果表 (1修多)'!D128)</f>
        <v>0</v>
      </c>
      <c r="E7" s="3360"/>
      <c r="F7" s="3360"/>
      <c r="G7" s="3360"/>
      <c r="H7" s="3360"/>
      <c r="I7" s="3361"/>
    </row>
    <row r="8" spans="1:9" ht="15.75">
      <c r="A8" s="3357" t="str">
        <f>IF('数据-取费表'!E3="否",结果表!A125,'结果表 (1修多)'!A129)</f>
        <v>房地产抵押价值</v>
      </c>
      <c r="B8" s="3357"/>
      <c r="C8" s="3357"/>
      <c r="D8" s="3357">
        <f ca="1">IF('数据-取费表'!E3="否",结果表!D125,'结果表 (1修多)'!D129)</f>
        <v>558</v>
      </c>
      <c r="E8" s="3357"/>
      <c r="F8" s="3357"/>
      <c r="G8" s="3357"/>
      <c r="H8" s="3357"/>
      <c r="I8" s="3357"/>
    </row>
    <row r="9" spans="1:9" ht="15">
      <c r="A9" s="3358" t="s">
        <v>1030</v>
      </c>
      <c r="B9" s="3358"/>
      <c r="C9" s="3358"/>
      <c r="D9" s="3356">
        <f ca="1">IF('数据-取费表'!E3="否",结果表!D126,'结果表 (1修多)'!D130)</f>
        <v>31652</v>
      </c>
      <c r="E9" s="3356"/>
      <c r="F9" s="3356"/>
      <c r="G9" s="3356"/>
      <c r="H9" s="3356"/>
      <c r="I9" s="3356"/>
    </row>
    <row r="10" spans="1:9" ht="15.75">
      <c r="A10" s="3357" t="str">
        <f>IF('数据-取费表'!E3="否",结果表!A127,'结果表 (1修多)'!A131)</f>
        <v/>
      </c>
      <c r="B10" s="3357"/>
      <c r="C10" s="3357"/>
      <c r="D10" s="3357" t="str">
        <f>IF('数据-取费表'!E3="否",结果表!D127,'结果表 (1修多)'!D130)</f>
        <v>——</v>
      </c>
      <c r="E10" s="3357"/>
      <c r="F10" s="3357"/>
      <c r="G10" s="3357"/>
      <c r="H10" s="3357"/>
      <c r="I10" s="3357"/>
    </row>
    <row r="11" spans="1:9" ht="15">
      <c r="A11" s="3358" t="s">
        <v>1030</v>
      </c>
      <c r="B11" s="3358"/>
      <c r="C11" s="3358"/>
      <c r="D11" s="3356" t="str">
        <f>IF('数据-取费表'!E3="否",结果表!D128,'结果表 (1修多)'!D132)</f>
        <v>——</v>
      </c>
      <c r="E11" s="3356"/>
      <c r="F11" s="3356"/>
      <c r="G11" s="3356"/>
      <c r="H11" s="3356"/>
      <c r="I11" s="3356"/>
    </row>
    <row r="12" spans="1:9" ht="15.75">
      <c r="A12" s="3357" t="str">
        <f>IF('数据-取费表'!E3="否",结果表!A129,'结果表 (1修多)'!A133)</f>
        <v/>
      </c>
      <c r="B12" s="3357"/>
      <c r="C12" s="3357"/>
      <c r="D12" s="3357" t="str">
        <f>IF('数据-取费表'!E3="否",结果表!D129,'结果表 (1修多)'!D133)</f>
        <v>——</v>
      </c>
      <c r="E12" s="3357"/>
      <c r="F12" s="3357"/>
      <c r="G12" s="3357"/>
      <c r="H12" s="3357"/>
      <c r="I12" s="3357"/>
    </row>
    <row r="13" spans="1:9" ht="15.75" thickBot="1">
      <c r="A13" s="3364" t="s">
        <v>1030</v>
      </c>
      <c r="B13" s="3364"/>
      <c r="C13" s="3364"/>
      <c r="D13" s="3365">
        <f>IF('数据-取费表'!E3="否",结果表!D130,'结果表 (1修多)'!D134)</f>
        <v>0</v>
      </c>
      <c r="E13" s="3365"/>
      <c r="F13" s="3365"/>
      <c r="G13" s="3365"/>
      <c r="H13" s="3365"/>
      <c r="I13" s="3365"/>
    </row>
    <row r="14" spans="1:9" ht="15" thickTop="1">
      <c r="A14" s="3366" t="str">
        <f>IF('数据-取费表'!E3="否",结果表!A131,'结果表 (1修多)'!A135)</f>
        <v>单位：平方米、万元、元/平方米（币种：人民币）</v>
      </c>
      <c r="B14" s="3366"/>
      <c r="C14" s="3366"/>
      <c r="D14" s="3366"/>
      <c r="E14" s="3366"/>
      <c r="F14" s="3366"/>
      <c r="G14" s="3366"/>
      <c r="H14" s="3366"/>
      <c r="I14" s="3366"/>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1" t="s">
        <v>1043</v>
      </c>
      <c r="B1" s="3371"/>
      <c r="C1" s="3371"/>
      <c r="D1" s="3371"/>
    </row>
    <row r="2" spans="1:4" ht="18">
      <c r="A2" s="3370" t="s">
        <v>1032</v>
      </c>
      <c r="B2" s="3370"/>
      <c r="C2" s="3370"/>
      <c r="D2" s="3370"/>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70" t="s">
        <v>1037</v>
      </c>
      <c r="B7" s="3370"/>
      <c r="C7" s="3370"/>
      <c r="D7" s="3370"/>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7" t="s">
        <v>2495</v>
      </c>
      <c r="B12" s="3369"/>
      <c r="C12" s="3369"/>
      <c r="D12" s="3369"/>
    </row>
    <row r="13" spans="1:4" ht="15.75">
      <c r="A13" s="336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9"/>
      <c r="C13" s="3369"/>
      <c r="D13" s="3369"/>
    </row>
    <row r="14" spans="1:4" ht="30" customHeight="1">
      <c r="A14" s="336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9"/>
      <c r="C14" s="3369"/>
      <c r="D14" s="3369"/>
    </row>
    <row r="15" spans="1:4" ht="15.75" customHeight="1">
      <c r="A15" s="3367" t="str">
        <f>IF(项目基本情况!D4="抵押","4.本次评估估价师所知悉的法定优先受偿款情况说明如下：","——")</f>
        <v>4.本次评估估价师所知悉的法定优先受偿款情况说明如下：</v>
      </c>
      <c r="B15" s="3369"/>
      <c r="C15" s="3369"/>
      <c r="D15" s="3369"/>
    </row>
    <row r="16" spans="1:4" ht="75" customHeight="1">
      <c r="A16" s="336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7"/>
      <c r="C16" s="3367"/>
      <c r="D16" s="3367"/>
    </row>
    <row r="17" spans="1:4" ht="63.75" customHeight="1">
      <c r="A17" s="3368" t="s">
        <v>1045</v>
      </c>
      <c r="B17" s="3368"/>
      <c r="C17" s="3368"/>
      <c r="D17" s="3368"/>
    </row>
    <row r="18" spans="1:4" ht="15.75" customHeight="1">
      <c r="A18" s="3367" t="str">
        <f>IF(项目基本情况!D4="抵押",结果表!L106,"——")</f>
        <v>本次评估不存在估价师所知悉的法定优先受偿款。</v>
      </c>
      <c r="B18" s="3367"/>
      <c r="C18" s="3367"/>
      <c r="D18" s="3367"/>
    </row>
    <row r="19" spans="1:4" ht="46.5" customHeight="1">
      <c r="A19" s="336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7"/>
      <c r="C19" s="3367"/>
      <c r="D19" s="3367"/>
    </row>
    <row r="20" spans="1:4" ht="15">
      <c r="A20" s="3368" t="s">
        <v>2496</v>
      </c>
      <c r="B20" s="3368"/>
      <c r="C20" s="3368"/>
      <c r="D20" s="3368"/>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7" t="s">
        <v>1124</v>
      </c>
      <c r="B15" s="3372" t="s">
        <v>1125</v>
      </c>
      <c r="C15" s="3373"/>
    </row>
    <row r="16" spans="1:7" ht="14.25">
      <c r="A16" s="3378"/>
      <c r="B16" s="3372" t="s">
        <v>1126</v>
      </c>
      <c r="C16" s="3373"/>
    </row>
    <row r="17" spans="1:3" ht="14.25">
      <c r="A17" s="3378"/>
      <c r="B17" s="3372" t="s">
        <v>1127</v>
      </c>
      <c r="C17" s="3373"/>
    </row>
    <row r="18" spans="1:3" ht="14.25">
      <c r="A18" s="3379"/>
      <c r="B18" s="3374" t="s">
        <v>1128</v>
      </c>
      <c r="C18" s="3373"/>
    </row>
    <row r="19" spans="1:3" ht="14.25">
      <c r="A19" s="1340" t="s">
        <v>1129</v>
      </c>
      <c r="B19" s="1341"/>
      <c r="C19" s="1342"/>
    </row>
    <row r="20" spans="1:3" ht="14.25">
      <c r="A20" s="3375" t="s">
        <v>1130</v>
      </c>
      <c r="B20" s="3374" t="s">
        <v>1131</v>
      </c>
      <c r="C20" s="3373"/>
    </row>
    <row r="21" spans="1:3" ht="14.25">
      <c r="A21" s="3375"/>
      <c r="B21" s="3374" t="s">
        <v>1132</v>
      </c>
      <c r="C21" s="3373"/>
    </row>
    <row r="22" spans="1:3" ht="14.25">
      <c r="A22" s="3375"/>
      <c r="B22" s="3374" t="s">
        <v>1133</v>
      </c>
      <c r="C22" s="3373"/>
    </row>
    <row r="23" spans="1:3" ht="14.25">
      <c r="A23" s="3375"/>
      <c r="B23" s="3376" t="s">
        <v>1134</v>
      </c>
      <c r="C23" s="1343" t="s">
        <v>1135</v>
      </c>
    </row>
    <row r="24" spans="1:3" ht="14.25">
      <c r="A24" s="3375"/>
      <c r="B24" s="3376"/>
      <c r="C24" s="1343" t="s">
        <v>1136</v>
      </c>
    </row>
    <row r="25" spans="1:3" ht="14.25">
      <c r="A25" s="3375"/>
      <c r="B25" s="3376"/>
      <c r="C25" s="1343" t="s">
        <v>1137</v>
      </c>
    </row>
    <row r="26" spans="1:3" ht="14.25">
      <c r="A26" s="3375"/>
      <c r="B26" s="3376"/>
      <c r="C26" s="1343" t="s">
        <v>1138</v>
      </c>
    </row>
    <row r="27" spans="1:3" ht="14.25">
      <c r="A27" s="3375"/>
      <c r="B27" s="3376"/>
      <c r="C27" s="1343" t="s">
        <v>1139</v>
      </c>
    </row>
    <row r="28" spans="1:3" ht="14.25">
      <c r="A28" s="3375"/>
      <c r="B28" s="3376"/>
      <c r="C28" s="1343" t="s">
        <v>1140</v>
      </c>
    </row>
    <row r="29" spans="1:3" ht="14.25">
      <c r="A29" s="3375"/>
      <c r="B29" s="3376"/>
      <c r="C29" s="1343" t="s">
        <v>1141</v>
      </c>
    </row>
    <row r="30" spans="1:3" ht="14.25">
      <c r="A30" s="3375"/>
      <c r="B30" s="3376"/>
      <c r="C30" s="1343" t="s">
        <v>1142</v>
      </c>
    </row>
    <row r="31" spans="1:3" ht="14.25">
      <c r="A31" s="3375"/>
      <c r="B31" s="3376"/>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44677</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2472</v>
      </c>
      <c r="B12" s="1230">
        <f ca="1">IF(C12&lt;B2,"已过期",1120040230)</f>
        <v>1120040230</v>
      </c>
      <c r="C12" s="2991">
        <v>44864</v>
      </c>
      <c r="D12" s="2998" t="str">
        <f t="shared" ca="1" si="0"/>
        <v>苏海（注册号：1120040230）</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2800</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80" t="s">
        <v>582</v>
      </c>
      <c r="B17" s="3380"/>
      <c r="C17" s="3380"/>
      <c r="D17" s="3380"/>
      <c r="E17" s="3380"/>
      <c r="F17" s="3380"/>
      <c r="G17" s="3380"/>
      <c r="H17" s="3380"/>
    </row>
    <row r="18" spans="1:8" ht="24" customHeight="1">
      <c r="A18" s="3381" t="s">
        <v>583</v>
      </c>
      <c r="B18" s="3381"/>
      <c r="C18" s="3381"/>
      <c r="D18" s="2987"/>
      <c r="E18" s="3382" t="s">
        <v>584</v>
      </c>
      <c r="F18" s="3381"/>
      <c r="G18" s="3381"/>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2801</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3"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本次估价的“房地产价值”是指在正常市场情况下，在价值时点2022年4月25日，估价对象规划用途为，假定未设立法定优先受偿款下的房地产市场价值。</v>
      </c>
    </row>
    <row r="54" spans="1:4">
      <c r="A54" s="3383"/>
      <c r="B54" s="9" t="s">
        <v>1280</v>
      </c>
      <c r="C54" s="9" t="s">
        <v>1281</v>
      </c>
    </row>
    <row r="55" spans="1:4">
      <c r="A55" s="3383"/>
      <c r="B55" s="9" t="s">
        <v>1282</v>
      </c>
      <c r="C55" s="9" t="s">
        <v>1283</v>
      </c>
    </row>
    <row r="56" spans="1:4">
      <c r="A56" s="3383"/>
      <c r="B56" s="9" t="s">
        <v>1284</v>
      </c>
      <c r="C56" s="9" t="s">
        <v>1285</v>
      </c>
    </row>
    <row r="57" spans="1:4">
      <c r="A57" s="3383"/>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2022-04-26T02:08:12Z</dcterms:modified>
</cp:coreProperties>
</file>