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50" windowWidth="11805" windowHeight="10875"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3" i="4" l="1"/>
  <c r="C12" i="4"/>
  <c r="I48" i="34" l="1"/>
  <c r="E48" i="34"/>
  <c r="I34" i="34"/>
  <c r="E34" i="34"/>
  <c r="I5" i="34"/>
  <c r="E5" i="34"/>
  <c r="C149" i="65"/>
  <c r="H5" i="64" l="1"/>
  <c r="H4" i="64"/>
  <c r="G5" i="64"/>
  <c r="D6" i="31"/>
  <c r="E6" i="31"/>
  <c r="F6" i="31"/>
  <c r="G6" i="31"/>
  <c r="H6" i="31"/>
  <c r="D7" i="31"/>
  <c r="E7" i="31"/>
  <c r="F7" i="31"/>
  <c r="G7" i="31"/>
  <c r="H7" i="31"/>
  <c r="C7" i="31"/>
  <c r="C6" i="31"/>
  <c r="I27" i="34"/>
  <c r="G27" i="34"/>
  <c r="E27" i="34"/>
  <c r="G48" i="34"/>
  <c r="G34" i="34"/>
  <c r="G5" i="34"/>
  <c r="C147" i="65"/>
  <c r="C146" i="65"/>
  <c r="B28" i="31"/>
  <c r="A28" i="31"/>
  <c r="A27" i="31"/>
  <c r="E20" i="1"/>
  <c r="H20" i="1"/>
  <c r="C15" i="4"/>
  <c r="D5" i="64"/>
  <c r="E4" i="64"/>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N38" i="59"/>
  <c r="D38" i="59"/>
  <c r="Q37" i="59"/>
  <c r="P37" i="59"/>
  <c r="O37" i="59"/>
  <c r="N37" i="59"/>
  <c r="Q36" i="59"/>
  <c r="P36" i="59"/>
  <c r="O36" i="59"/>
  <c r="N36" i="59"/>
  <c r="Q35" i="59"/>
  <c r="P35" i="59"/>
  <c r="O35" i="59"/>
  <c r="N35" i="59"/>
  <c r="Q34" i="59"/>
  <c r="P34" i="59"/>
  <c r="AA34" i="59" s="1"/>
  <c r="E35" i="59"/>
  <c r="E36" i="59" s="1"/>
  <c r="E37" i="59"/>
  <c r="U37" i="59" s="1"/>
  <c r="O34" i="59"/>
  <c r="Y34" i="59" s="1"/>
  <c r="Z34" i="59" s="1"/>
  <c r="N34" i="59"/>
  <c r="X34" i="59" s="1"/>
  <c r="D34" i="59"/>
  <c r="Q33" i="59"/>
  <c r="AB33" i="59" s="1"/>
  <c r="P33" i="59"/>
  <c r="AA33" i="59" s="1"/>
  <c r="O33" i="59"/>
  <c r="Y33" i="59" s="1"/>
  <c r="Z33" i="59" s="1"/>
  <c r="N33" i="59"/>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4" i="59"/>
  <c r="D43" i="59"/>
  <c r="C48" i="59"/>
  <c r="D48" i="59"/>
  <c r="D47" i="59"/>
  <c r="C52" i="59"/>
  <c r="D51" i="59"/>
  <c r="P29" i="59"/>
  <c r="AA27" i="59" s="1"/>
  <c r="E56" i="59"/>
  <c r="E57" i="59"/>
  <c r="U57" i="59" s="1"/>
  <c r="E60" i="59"/>
  <c r="E61" i="59" s="1"/>
  <c r="U61" i="59" s="1"/>
  <c r="E64" i="59"/>
  <c r="E65" i="59"/>
  <c r="U65" i="59" s="1"/>
  <c r="Q66" i="59"/>
  <c r="P67" i="59"/>
  <c r="U73" i="59"/>
  <c r="E72" i="59"/>
  <c r="E71" i="59"/>
  <c r="Q29" i="59"/>
  <c r="C56" i="59"/>
  <c r="D56" i="59" s="1"/>
  <c r="D55" i="59"/>
  <c r="C60" i="59"/>
  <c r="D60" i="59" s="1"/>
  <c r="D59" i="59"/>
  <c r="C64" i="59"/>
  <c r="D64" i="59" s="1"/>
  <c r="D63" i="59"/>
  <c r="N68" i="59"/>
  <c r="B67" i="59"/>
  <c r="Q68" i="59"/>
  <c r="T69" i="59"/>
  <c r="O69" i="59"/>
  <c r="D69" i="59"/>
  <c r="C68" i="59"/>
  <c r="C67" i="59" s="1"/>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3" i="59"/>
  <c r="C28" i="59"/>
  <c r="C27" i="59" s="1"/>
  <c r="D27" i="59" s="1"/>
  <c r="D29" i="59"/>
  <c r="D84" i="59"/>
  <c r="C83" i="59"/>
  <c r="D83" i="59"/>
  <c r="D76" i="59"/>
  <c r="C75" i="59"/>
  <c r="D75" i="59" s="1"/>
  <c r="C71" i="59"/>
  <c r="D71" i="59" s="1"/>
  <c r="D72" i="59"/>
  <c r="C53" i="59"/>
  <c r="D52" i="59"/>
  <c r="C87" i="59"/>
  <c r="D87" i="59" s="1"/>
  <c r="D80" i="59"/>
  <c r="C79" i="59"/>
  <c r="D79" i="59"/>
  <c r="O68" i="59"/>
  <c r="C65" i="59"/>
  <c r="D65" i="59" s="1"/>
  <c r="C61" i="59"/>
  <c r="D61" i="59" s="1"/>
  <c r="C57" i="59"/>
  <c r="D57" i="59" s="1"/>
  <c r="N66" i="59"/>
  <c r="N67" i="59"/>
  <c r="C45" i="59"/>
  <c r="D45" i="59" s="1"/>
  <c r="D44" i="59"/>
  <c r="D28" i="59"/>
  <c r="F28" i="59"/>
  <c r="F27" i="59" s="1"/>
  <c r="V29" i="59"/>
  <c r="T53" i="59"/>
  <c r="D53" i="59"/>
  <c r="T45" i="59"/>
  <c r="T57" i="59"/>
  <c r="T61" i="59"/>
  <c r="T65"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S76" i="31" s="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T430" i="31" s="1"/>
  <c r="R431" i="31"/>
  <c r="T431" i="31" s="1"/>
  <c r="R432" i="31"/>
  <c r="R433" i="31"/>
  <c r="T433" i="31" s="1"/>
  <c r="R434" i="31"/>
  <c r="T434" i="31" s="1"/>
  <c r="R435" i="31"/>
  <c r="T435" i="31" s="1"/>
  <c r="R436" i="31"/>
  <c r="R437" i="31"/>
  <c r="T437" i="31" s="1"/>
  <c r="R438" i="31"/>
  <c r="T438" i="31" s="1"/>
  <c r="R439" i="31"/>
  <c r="T439" i="31" s="1"/>
  <c r="R440" i="31"/>
  <c r="T440" i="31" s="1"/>
  <c r="R441" i="31"/>
  <c r="T441" i="31" s="1"/>
  <c r="R442" i="31"/>
  <c r="T442" i="31" s="1"/>
  <c r="R443" i="31"/>
  <c r="T443" i="31" s="1"/>
  <c r="R444" i="31"/>
  <c r="R445" i="31"/>
  <c r="T445" i="31" s="1"/>
  <c r="R446" i="31"/>
  <c r="T446" i="31" s="1"/>
  <c r="R447" i="31"/>
  <c r="T447" i="31" s="1"/>
  <c r="R448" i="31"/>
  <c r="R449" i="31"/>
  <c r="R450" i="31"/>
  <c r="T450" i="31" s="1"/>
  <c r="R451" i="31"/>
  <c r="R452" i="3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R474" i="31"/>
  <c r="T474" i="31" s="1"/>
  <c r="R475" i="31"/>
  <c r="T475" i="31" s="1"/>
  <c r="R476" i="31"/>
  <c r="T476" i="31" s="1"/>
  <c r="R477" i="31"/>
  <c r="R478" i="31"/>
  <c r="T478" i="31" s="1"/>
  <c r="R479" i="31"/>
  <c r="T479" i="31" s="1"/>
  <c r="R480" i="31"/>
  <c r="T480" i="31" s="1"/>
  <c r="R481" i="31"/>
  <c r="R482" i="31"/>
  <c r="T482" i="31" s="1"/>
  <c r="R483" i="31"/>
  <c r="T483" i="31" s="1"/>
  <c r="R484" i="31"/>
  <c r="T484" i="31" s="1"/>
  <c r="R485" i="31"/>
  <c r="R486" i="31"/>
  <c r="T486" i="31" s="1"/>
  <c r="R487" i="31"/>
  <c r="T487" i="31" s="1"/>
  <c r="R488" i="31"/>
  <c r="T488" i="31" s="1"/>
  <c r="R489" i="31"/>
  <c r="R490" i="31"/>
  <c r="T490" i="31" s="1"/>
  <c r="R491" i="31"/>
  <c r="T491" i="31" s="1"/>
  <c r="R492" i="31"/>
  <c r="T492" i="31" s="1"/>
  <c r="R493" i="31"/>
  <c r="R494" i="31"/>
  <c r="T494" i="31" s="1"/>
  <c r="R495" i="31"/>
  <c r="T495" i="31" s="1"/>
  <c r="R496" i="31"/>
  <c r="T496" i="31" s="1"/>
  <c r="R497" i="31"/>
  <c r="R498" i="31"/>
  <c r="T498" i="31" s="1"/>
  <c r="R499" i="31"/>
  <c r="T499" i="31" s="1"/>
  <c r="R500" i="31"/>
  <c r="S500" i="31" s="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c r="L12" i="47"/>
  <c r="M12" i="47"/>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16" i="31"/>
  <c r="S406" i="31"/>
  <c r="S394" i="31"/>
  <c r="S384" i="31"/>
  <c r="S374" i="31"/>
  <c r="S362" i="31"/>
  <c r="S352" i="31"/>
  <c r="S342" i="31"/>
  <c r="S330" i="31"/>
  <c r="S322" i="31"/>
  <c r="S312" i="31"/>
  <c r="S300" i="31"/>
  <c r="S290" i="31"/>
  <c r="S280" i="31"/>
  <c r="S268"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4" i="31"/>
  <c r="S206" i="31"/>
  <c r="S198" i="31"/>
  <c r="S190" i="31"/>
  <c r="S182" i="31"/>
  <c r="S174" i="31"/>
  <c r="S166" i="31"/>
  <c r="S158" i="31"/>
  <c r="S150" i="31"/>
  <c r="S142" i="31"/>
  <c r="S134" i="31"/>
  <c r="S126" i="31"/>
  <c r="S499" i="31"/>
  <c r="S491" i="31"/>
  <c r="S483" i="31"/>
  <c r="S475" i="31"/>
  <c r="S124" i="31"/>
  <c r="S116" i="31"/>
  <c r="S503" i="31"/>
  <c r="S468" i="31"/>
  <c r="S51" i="31"/>
  <c r="S43" i="31"/>
  <c r="S35" i="31"/>
  <c r="S68" i="31"/>
  <c r="S60" i="31"/>
  <c r="S96" i="31"/>
  <c r="S88" i="31"/>
  <c r="S34" i="31"/>
  <c r="S106" i="31"/>
  <c r="S114"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S40" i="33"/>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c r="AA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AC14" i="34"/>
  <c r="J10" i="36"/>
  <c r="AC10" i="36" s="1"/>
  <c r="AB46" i="21"/>
  <c r="U14" i="21"/>
  <c r="AC14" i="21"/>
  <c r="AC13" i="36"/>
  <c r="U32" i="36"/>
  <c r="AB45" i="33"/>
  <c r="U31" i="33"/>
  <c r="AC29" i="33"/>
  <c r="W29" i="33"/>
  <c r="AB28" i="33"/>
  <c r="U42" i="21"/>
  <c r="S33" i="21"/>
  <c r="S19" i="21"/>
  <c r="J41" i="39"/>
  <c r="W41" i="39" s="1"/>
  <c r="AC45" i="39"/>
  <c r="U36" i="39"/>
  <c r="S508"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H28" i="34"/>
  <c r="U28" i="34"/>
  <c r="E116" i="34"/>
  <c r="F116" i="34"/>
  <c r="G116" i="34" s="1"/>
  <c r="H116" i="34" s="1"/>
  <c r="I116" i="34" s="1"/>
  <c r="J116" i="34" s="1"/>
  <c r="K116" i="34" s="1"/>
  <c r="L116" i="34" s="1"/>
  <c r="M116" i="34" s="1"/>
  <c r="J39" i="34"/>
  <c r="W39" i="34" s="1"/>
  <c r="J27" i="36"/>
  <c r="F37" i="34"/>
  <c r="AA37" i="34" s="1"/>
  <c r="H37" i="34"/>
  <c r="U37" i="34" s="1"/>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F80"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AA34" i="35"/>
  <c r="S34" i="35"/>
  <c r="AB24" i="35"/>
  <c r="J17" i="34"/>
  <c r="AC17" i="34" s="1"/>
  <c r="G80" i="34"/>
  <c r="F17" i="34"/>
  <c r="AA17" i="34" s="1"/>
  <c r="H27" i="33"/>
  <c r="AB27" i="33"/>
  <c r="F43" i="33"/>
  <c r="S43" i="33"/>
  <c r="J43" i="33"/>
  <c r="AC43" i="33"/>
  <c r="AB31" i="21"/>
  <c r="U31" i="21"/>
  <c r="AA29" i="21"/>
  <c r="S29" i="21"/>
  <c r="W29" i="21"/>
  <c r="AC27" i="21"/>
  <c r="H27" i="36"/>
  <c r="AB27" i="36" s="1"/>
  <c r="F27" i="36"/>
  <c r="AA27" i="36" s="1"/>
  <c r="J28" i="34"/>
  <c r="W28" i="34" s="1"/>
  <c r="AB34" i="21"/>
  <c r="H11" i="34"/>
  <c r="U11" i="34" s="1"/>
  <c r="S17" i="37"/>
  <c r="J11" i="37"/>
  <c r="AC11" i="37" s="1"/>
  <c r="AC36" i="34"/>
  <c r="W12" i="39"/>
  <c r="AC12" i="39"/>
  <c r="W9" i="34"/>
  <c r="S45" i="21"/>
  <c r="AB13" i="21"/>
  <c r="AC37" i="37"/>
  <c r="U38" i="40"/>
  <c r="F23" i="39"/>
  <c r="AA23" i="39" s="1"/>
  <c r="F96" i="39"/>
  <c r="G96" i="39" s="1"/>
  <c r="S26" i="37"/>
  <c r="F44" i="34"/>
  <c r="AA44" i="34" s="1"/>
  <c r="F126" i="34"/>
  <c r="G126" i="34"/>
  <c r="J44" i="34"/>
  <c r="AC44" i="34"/>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C34" i="34" s="1"/>
  <c r="H34" i="34" s="1"/>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H11" i="44"/>
  <c r="C51" i="10"/>
  <c r="A8" i="54"/>
  <c r="B8" i="60" s="1"/>
  <c r="F2" i="21"/>
  <c r="F2" i="34"/>
  <c r="F2" i="35"/>
  <c r="F2" i="33"/>
  <c r="D36" i="57"/>
  <c r="C114" i="9"/>
  <c r="H112" i="9" s="1"/>
  <c r="C120" i="57"/>
  <c r="H116" i="57" s="1"/>
  <c r="A18" i="54"/>
  <c r="B15" i="60" s="1"/>
  <c r="T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K106" i="43"/>
  <c r="A125" i="57"/>
  <c r="N47" i="9"/>
  <c r="N104" i="46"/>
  <c r="J17" i="43"/>
  <c r="C7" i="33"/>
  <c r="C58" i="33" s="1"/>
  <c r="D58" i="33" s="1"/>
  <c r="E58" i="33" s="1"/>
  <c r="F58" i="33" s="1"/>
  <c r="G58" i="33" s="1"/>
  <c r="H58" i="33" s="1"/>
  <c r="I58" i="33" s="1"/>
  <c r="J58" i="33" s="1"/>
  <c r="K58" i="33" s="1"/>
  <c r="L58" i="33" s="1"/>
  <c r="M58" i="33" s="1"/>
  <c r="N58" i="33" s="1"/>
  <c r="O58" i="33" s="1"/>
  <c r="H104" i="43"/>
  <c r="D102" i="43"/>
  <c r="G104" i="43"/>
  <c r="D115" i="43"/>
  <c r="E115" i="43" s="1"/>
  <c r="F115" i="43" s="1"/>
  <c r="N106" i="43"/>
  <c r="G37" i="47"/>
  <c r="G19" i="43"/>
  <c r="O19" i="43" s="1"/>
  <c r="F36" i="43"/>
  <c r="C17" i="43"/>
  <c r="F35" i="43"/>
  <c r="F37" i="43"/>
  <c r="F39" i="43"/>
  <c r="K17" i="43"/>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45" i="34"/>
  <c r="AB45" i="34"/>
  <c r="AB35" i="34"/>
  <c r="AB27" i="34"/>
  <c r="W29" i="34"/>
  <c r="W43"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U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D20" i="59"/>
  <c r="I116" i="57"/>
  <c r="D133" i="57" s="1"/>
  <c r="D120" i="57"/>
  <c r="I114" i="9"/>
  <c r="D129" i="9" s="1"/>
  <c r="I112" i="9"/>
  <c r="D116" i="9"/>
  <c r="D114" i="9"/>
  <c r="D115" i="9"/>
  <c r="I113" i="9" s="1"/>
  <c r="D7" i="61"/>
  <c r="E2" i="11"/>
  <c r="F3" i="61"/>
  <c r="D5" i="61"/>
  <c r="D6" i="61"/>
  <c r="D3" i="61"/>
  <c r="F5" i="61"/>
  <c r="D4" i="61"/>
  <c r="E2" i="34"/>
  <c r="F6" i="61"/>
  <c r="F4" i="61"/>
  <c r="E2" i="37"/>
  <c r="E2" i="36"/>
  <c r="F7" i="61"/>
  <c r="H23" i="31"/>
  <c r="E2" i="35"/>
  <c r="E2" i="21"/>
  <c r="E2" i="33"/>
  <c r="AB34" i="34" l="1"/>
  <c r="U34" i="34"/>
  <c r="F34" i="34"/>
  <c r="AA34" i="34" s="1"/>
  <c r="J34" i="34"/>
  <c r="AC34" i="34" s="1"/>
  <c r="J52" i="15"/>
  <c r="M60" i="15" s="1"/>
  <c r="C7" i="34"/>
  <c r="C7" i="37"/>
  <c r="C52" i="37" s="1"/>
  <c r="D52" i="37" s="1"/>
  <c r="E52" i="37" s="1"/>
  <c r="F52" i="37" s="1"/>
  <c r="C7" i="21"/>
  <c r="C58" i="21" s="1"/>
  <c r="D58" i="21" s="1"/>
  <c r="E58" i="21" s="1"/>
  <c r="C7" i="39"/>
  <c r="C67" i="39" s="1"/>
  <c r="C69" i="39" s="1"/>
  <c r="C7" i="40"/>
  <c r="C62" i="40" s="1"/>
  <c r="D62" i="40" s="1"/>
  <c r="W17" i="34"/>
  <c r="AB17" i="34"/>
  <c r="S17" i="34"/>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S504" i="31"/>
  <c r="S514" i="31"/>
  <c r="S450" i="31"/>
  <c r="S110" i="31"/>
  <c r="S102" i="31"/>
  <c r="S84" i="31"/>
  <c r="S92" i="31"/>
  <c r="S100" i="31"/>
  <c r="S64" i="31"/>
  <c r="S72" i="31"/>
  <c r="S460" i="31"/>
  <c r="S120" i="31"/>
  <c r="S440" i="31"/>
  <c r="S130" i="31"/>
  <c r="S138" i="31"/>
  <c r="S146" i="31"/>
  <c r="S154" i="31"/>
  <c r="S162" i="31"/>
  <c r="S170" i="31"/>
  <c r="S178" i="31"/>
  <c r="S186" i="31"/>
  <c r="S194" i="31"/>
  <c r="S202" i="31"/>
  <c r="S210" i="31"/>
  <c r="S218" i="31"/>
  <c r="S428" i="31"/>
  <c r="S264" i="31"/>
  <c r="S274" i="31"/>
  <c r="S284" i="31"/>
  <c r="S296" i="31"/>
  <c r="S306" i="31"/>
  <c r="S316" i="31"/>
  <c r="S326" i="31"/>
  <c r="S336" i="31"/>
  <c r="S346" i="31"/>
  <c r="S358" i="31"/>
  <c r="S368" i="31"/>
  <c r="S378" i="31"/>
  <c r="S390" i="31"/>
  <c r="S400" i="31"/>
  <c r="S410" i="31"/>
  <c r="S422" i="31"/>
  <c r="AA27" i="34"/>
  <c r="S37" i="34"/>
  <c r="AC37" i="34"/>
  <c r="W34" i="34"/>
  <c r="AC11" i="34"/>
  <c r="AB8" i="34"/>
  <c r="D42" i="50"/>
  <c r="D43" i="50" s="1"/>
  <c r="D116" i="43"/>
  <c r="E116" i="43" s="1"/>
  <c r="F116" i="43" s="1"/>
  <c r="G116" i="43" s="1"/>
  <c r="H116" i="43" s="1"/>
  <c r="D117" i="43"/>
  <c r="E117" i="43" s="1"/>
  <c r="F117" i="43" s="1"/>
  <c r="G117" i="43" s="1"/>
  <c r="H117" i="43" s="1"/>
  <c r="B117" i="43"/>
  <c r="C117" i="43" s="1"/>
  <c r="C105" i="43"/>
  <c r="K103" i="43"/>
  <c r="D105" i="43"/>
  <c r="L104" i="43"/>
  <c r="H102" i="43"/>
  <c r="G103" i="43"/>
  <c r="N46" i="9"/>
  <c r="A2" i="9"/>
  <c r="A8" i="52"/>
  <c r="B65" i="60" s="1"/>
  <c r="B20" i="59"/>
  <c r="B19" i="59" s="1"/>
  <c r="B18" i="59" s="1"/>
  <c r="B17" i="59" s="1"/>
  <c r="S21" i="59"/>
  <c r="D39" i="50"/>
  <c r="D40" i="50" s="1"/>
  <c r="D19" i="59"/>
  <c r="I14" i="62"/>
  <c r="B8" i="62" s="1"/>
  <c r="D8" i="62" s="1"/>
  <c r="D21" i="59"/>
  <c r="AB30" i="35"/>
  <c r="V21" i="59"/>
  <c r="T21" i="59"/>
  <c r="H81" i="43"/>
  <c r="U23" i="39"/>
  <c r="S27" i="36"/>
  <c r="S40" i="21"/>
  <c r="S24" i="36"/>
  <c r="W17" i="21"/>
  <c r="AC11" i="36"/>
  <c r="S46" i="33"/>
  <c r="S14" i="33"/>
  <c r="S47" i="34"/>
  <c r="AB37" i="37"/>
  <c r="AA44" i="33"/>
  <c r="F16" i="59"/>
  <c r="F15" i="59" s="1"/>
  <c r="F14" i="59" s="1"/>
  <c r="F13" i="59" s="1"/>
  <c r="V17" i="59"/>
  <c r="AB15" i="34"/>
  <c r="U15" i="34"/>
  <c r="AB39" i="39"/>
  <c r="AC38" i="21"/>
  <c r="F26" i="33"/>
  <c r="H12" i="21"/>
  <c r="J12" i="21"/>
  <c r="H9" i="36"/>
  <c r="J9" i="36"/>
  <c r="F9" i="36"/>
  <c r="O67" i="59"/>
  <c r="O66" i="59"/>
  <c r="D67" i="59"/>
  <c r="M19" i="43"/>
  <c r="U41" i="59"/>
  <c r="S21" i="21"/>
  <c r="S21" i="37"/>
  <c r="C29" i="39"/>
  <c r="C25" i="40"/>
  <c r="B66" i="43"/>
  <c r="F31" i="59"/>
  <c r="F32" i="59" s="1"/>
  <c r="F33" i="59" s="1"/>
  <c r="V33" i="59" s="1"/>
  <c r="Y38" i="59"/>
  <c r="Z38" i="59" s="1"/>
  <c r="C39" i="59"/>
  <c r="F39" i="59"/>
  <c r="F40" i="59" s="1"/>
  <c r="F41" i="59" s="1"/>
  <c r="V41" i="59" s="1"/>
  <c r="B55" i="43"/>
  <c r="U29" i="59"/>
  <c r="D68" i="59"/>
  <c r="AA26" i="59"/>
  <c r="AA29" i="59"/>
  <c r="S29" i="59"/>
  <c r="X26" i="59"/>
  <c r="X29" i="59"/>
  <c r="B31" i="59"/>
  <c r="B32" i="59" s="1"/>
  <c r="B33" i="59" s="1"/>
  <c r="S33" i="59" s="1"/>
  <c r="C31" i="59"/>
  <c r="X33" i="59"/>
  <c r="B35" i="59"/>
  <c r="B36" i="59" s="1"/>
  <c r="B37" i="59" s="1"/>
  <c r="S37" i="59" s="1"/>
  <c r="C35" i="59"/>
  <c r="AB34" i="59"/>
  <c r="F35" i="59"/>
  <c r="F36" i="59" s="1"/>
  <c r="F37" i="59" s="1"/>
  <c r="V37" i="59" s="1"/>
  <c r="Y35" i="59"/>
  <c r="Z35" i="59" s="1"/>
  <c r="AB35" i="59"/>
  <c r="Y36" i="59"/>
  <c r="Z36" i="59" s="1"/>
  <c r="AB36" i="59"/>
  <c r="Y37" i="59"/>
  <c r="Z37" i="59" s="1"/>
  <c r="AB37" i="59"/>
  <c r="X38" i="59"/>
  <c r="B39" i="59"/>
  <c r="B40" i="59" s="1"/>
  <c r="B41" i="59" s="1"/>
  <c r="S41" i="59" s="1"/>
  <c r="X35" i="59"/>
  <c r="AA35" i="59"/>
  <c r="X36" i="59"/>
  <c r="AA36" i="59"/>
  <c r="X37" i="59"/>
  <c r="AA37" i="59"/>
  <c r="AA38" i="59"/>
  <c r="AA39" i="59"/>
  <c r="X5" i="59"/>
  <c r="X7" i="59"/>
  <c r="X6" i="59"/>
  <c r="X9" i="59"/>
  <c r="X8" i="59"/>
  <c r="X11" i="59"/>
  <c r="X10" i="59"/>
  <c r="X12" i="59"/>
  <c r="AB5" i="59"/>
  <c r="AB6" i="59"/>
  <c r="AB7" i="59"/>
  <c r="AB8" i="59"/>
  <c r="AB10" i="59"/>
  <c r="AB11" i="59"/>
  <c r="AB9" i="59"/>
  <c r="P69" i="59"/>
  <c r="B76" i="59"/>
  <c r="B75" i="59" s="1"/>
  <c r="F76" i="59"/>
  <c r="F75" i="59" s="1"/>
  <c r="AA22" i="59"/>
  <c r="AA25" i="59"/>
  <c r="E16" i="59"/>
  <c r="E15" i="59" s="1"/>
  <c r="E14" i="59" s="1"/>
  <c r="E13" i="59" s="1"/>
  <c r="U17" i="59"/>
  <c r="Y25" i="59"/>
  <c r="Z25" i="59" s="1"/>
  <c r="AB23" i="59"/>
  <c r="AB22" i="59"/>
  <c r="Y22" i="59"/>
  <c r="Z22" i="59" s="1"/>
  <c r="Y18" i="59"/>
  <c r="Z18" i="59" s="1"/>
  <c r="AB18" i="59"/>
  <c r="AA18" i="59"/>
  <c r="AA17" i="59"/>
  <c r="Y8" i="59"/>
  <c r="Z8" i="59" s="1"/>
  <c r="Y5" i="59"/>
  <c r="Z5" i="59" s="1"/>
  <c r="Y7" i="59"/>
  <c r="Z7" i="59" s="1"/>
  <c r="Y6" i="59"/>
  <c r="Z6" i="59" s="1"/>
  <c r="Y10" i="59"/>
  <c r="Z10" i="59" s="1"/>
  <c r="Y9" i="59"/>
  <c r="Z9" i="59" s="1"/>
  <c r="Y12" i="59"/>
  <c r="Z12" i="59" s="1"/>
  <c r="AA7" i="59"/>
  <c r="AA5" i="59"/>
  <c r="AA6" i="59"/>
  <c r="AA8" i="59"/>
  <c r="AA9" i="59"/>
  <c r="AA11" i="59"/>
  <c r="AA10" i="59"/>
  <c r="X23" i="59"/>
  <c r="AA20" i="59"/>
  <c r="X22" i="59"/>
  <c r="X18" i="59"/>
  <c r="AB17" i="59"/>
  <c r="Y19" i="59"/>
  <c r="Z19" i="59" s="1"/>
  <c r="Y11" i="59"/>
  <c r="Z11" i="59" s="1"/>
  <c r="AB12" i="59"/>
  <c r="Y24" i="59"/>
  <c r="Z24" i="59" s="1"/>
  <c r="Y20" i="59"/>
  <c r="Z20" i="59" s="1"/>
  <c r="X16" i="59"/>
  <c r="AA16" i="59"/>
  <c r="Y13" i="59"/>
  <c r="Z13" i="59" s="1"/>
  <c r="AA13" i="59"/>
  <c r="AA12" i="59"/>
  <c r="AA15" i="59"/>
  <c r="X14" i="59"/>
  <c r="B15" i="50"/>
  <c r="V25" i="59"/>
  <c r="X25" i="59"/>
  <c r="Y16" i="59"/>
  <c r="Z16" i="59" s="1"/>
  <c r="AB16" i="59"/>
  <c r="AB13" i="59"/>
  <c r="AB14" i="59"/>
  <c r="AB15" i="59"/>
  <c r="Y14" i="59"/>
  <c r="Z14" i="59" s="1"/>
  <c r="Y15" i="59"/>
  <c r="Z15" i="59" s="1"/>
  <c r="AA14"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C116" i="57"/>
  <c r="H112" i="57" s="1"/>
  <c r="C17" i="12"/>
  <c r="B36" i="50"/>
  <c r="B56" i="60"/>
  <c r="H53" i="43"/>
  <c r="N60" i="15"/>
  <c r="C12" i="12"/>
  <c r="C16" i="12" s="1"/>
  <c r="G17" i="43"/>
  <c r="C16" i="43" s="1"/>
  <c r="C5" i="43" s="1"/>
  <c r="J20" i="15"/>
  <c r="C6" i="15"/>
  <c r="F51" i="15"/>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H67" i="39"/>
  <c r="D46" i="36"/>
  <c r="G115" i="43"/>
  <c r="H115" i="43" s="1"/>
  <c r="H72" i="43"/>
  <c r="H74" i="43"/>
  <c r="H77" i="43"/>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S34" i="34" l="1"/>
  <c r="C8" i="62"/>
  <c r="C59" i="34"/>
  <c r="D59" i="34" s="1"/>
  <c r="I7" i="34"/>
  <c r="E7" i="34"/>
  <c r="G7" i="34"/>
  <c r="H7" i="35"/>
  <c r="D22" i="43"/>
  <c r="C21" i="43" s="1"/>
  <c r="H7" i="37"/>
  <c r="AB7" i="37" s="1"/>
  <c r="T42" i="37" s="1"/>
  <c r="G42" i="37" s="1"/>
  <c r="G46" i="37" s="1"/>
  <c r="H46" i="37" s="1"/>
  <c r="D69" i="39"/>
  <c r="F7" i="35"/>
  <c r="C36" i="59"/>
  <c r="D35" i="59"/>
  <c r="C40" i="59"/>
  <c r="D39" i="59"/>
  <c r="AC9" i="36"/>
  <c r="W9" i="36"/>
  <c r="AC12" i="21"/>
  <c r="W12" i="21"/>
  <c r="AA26" i="33"/>
  <c r="S26" i="33"/>
  <c r="C16" i="59"/>
  <c r="T17" i="59"/>
  <c r="C32" i="59"/>
  <c r="D31" i="59"/>
  <c r="S9" i="36"/>
  <c r="AA9" i="36"/>
  <c r="AB9" i="36"/>
  <c r="U9" i="36"/>
  <c r="AB12" i="21"/>
  <c r="U12" i="21"/>
  <c r="B16" i="59"/>
  <c r="B15" i="59" s="1"/>
  <c r="B14" i="59" s="1"/>
  <c r="B13" i="59" s="1"/>
  <c r="S17" i="59"/>
  <c r="F69" i="39"/>
  <c r="C7" i="43"/>
  <c r="U9" i="59"/>
  <c r="E8" i="59"/>
  <c r="V9" i="59"/>
  <c r="F8" i="59"/>
  <c r="C18" i="15"/>
  <c r="C16" i="15"/>
  <c r="J7" i="35"/>
  <c r="AC7" i="35" s="1"/>
  <c r="V38" i="35" s="1"/>
  <c r="I38"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E42" i="37"/>
  <c r="E46" i="37" s="1"/>
  <c r="F46" i="37" s="1"/>
  <c r="J7" i="36"/>
  <c r="W7" i="36" s="1"/>
  <c r="B12" i="59"/>
  <c r="B11" i="59" s="1"/>
  <c r="B10" i="59" s="1"/>
  <c r="B9" i="59" s="1"/>
  <c r="S13" i="59"/>
  <c r="D32" i="59"/>
  <c r="C33" i="59"/>
  <c r="D40" i="59"/>
  <c r="C41" i="59"/>
  <c r="D36" i="59"/>
  <c r="C37" i="59"/>
  <c r="F7" i="59"/>
  <c r="E7" i="59"/>
  <c r="H7" i="36"/>
  <c r="U7"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I47" i="37" l="1"/>
  <c r="J47" i="37" s="1"/>
  <c r="B8" i="59"/>
  <c r="B7" i="59" s="1"/>
  <c r="S9" i="59"/>
  <c r="D37" i="59"/>
  <c r="T37" i="59"/>
  <c r="D41" i="59"/>
  <c r="T41" i="59"/>
  <c r="D33" i="59"/>
  <c r="T33"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W7" i="21" s="1"/>
  <c r="D10" i="59"/>
  <c r="C9" i="59"/>
  <c r="C8" i="59" s="1"/>
  <c r="C65" i="15"/>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57"/>
  <c r="D19" i="9"/>
  <c r="D20" i="57"/>
  <c r="D101" i="9" l="1"/>
  <c r="D102" i="9"/>
  <c r="D104" i="57"/>
  <c r="D103" i="57"/>
  <c r="R50" i="34"/>
  <c r="C49" i="34" s="1"/>
  <c r="E54" i="34"/>
  <c r="F54" i="34" s="1"/>
  <c r="I53" i="34"/>
  <c r="J53" i="34" s="1"/>
  <c r="I54" i="34"/>
  <c r="J54"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B3" i="34"/>
  <c r="AC7" i="40"/>
  <c r="V42" i="40" s="1"/>
  <c r="I42" i="40" s="1"/>
  <c r="I46" i="40" s="1"/>
  <c r="J46" i="40" s="1"/>
  <c r="W7" i="40"/>
  <c r="S7" i="40"/>
  <c r="AA7" i="40"/>
  <c r="R42" i="40" s="1"/>
  <c r="R43" i="40" s="1"/>
  <c r="AB7" i="40"/>
  <c r="T42" i="40" s="1"/>
  <c r="G42" i="40" s="1"/>
  <c r="G46" i="40" s="1"/>
  <c r="H46" i="40" s="1"/>
  <c r="U7" i="40"/>
  <c r="C19" i="57"/>
  <c r="C20" i="9"/>
  <c r="C19" i="9"/>
  <c r="C20" i="57"/>
  <c r="C102" i="9" l="1"/>
  <c r="G20" i="9"/>
  <c r="C101" i="9"/>
  <c r="G19" i="9"/>
  <c r="D22" i="9"/>
  <c r="C103" i="57"/>
  <c r="D22" i="57"/>
  <c r="G19" i="57"/>
  <c r="C105" i="57" s="1"/>
  <c r="C104" i="57"/>
  <c r="G20" i="57"/>
  <c r="R27" i="31" s="1"/>
  <c r="G47" i="40"/>
  <c r="H47" i="40" s="1"/>
  <c r="E42" i="40"/>
  <c r="C32" i="9" l="1"/>
  <c r="C35" i="9" s="1"/>
  <c r="C34" i="9" s="1"/>
  <c r="C106" i="57"/>
  <c r="T27" i="31"/>
  <c r="C33" i="57"/>
  <c r="S27" i="31"/>
  <c r="R28" i="31"/>
  <c r="I47" i="40"/>
  <c r="J47" i="40" s="1"/>
  <c r="E47" i="40"/>
  <c r="F47" i="40" s="1"/>
  <c r="E46" i="40"/>
  <c r="F46" i="40" s="1"/>
  <c r="C43" i="40"/>
  <c r="C42" i="40"/>
  <c r="S28" i="31" l="1"/>
  <c r="S25" i="31" s="1"/>
  <c r="T28" i="31"/>
  <c r="T25" i="31" s="1"/>
  <c r="B57" i="40"/>
  <c r="F57" i="40" s="1"/>
  <c r="B54" i="40"/>
  <c r="F54" i="40" s="1"/>
  <c r="B56" i="40"/>
  <c r="F56" i="40" s="1"/>
  <c r="B53" i="40"/>
  <c r="F53" i="40" s="1"/>
  <c r="B58" i="40"/>
  <c r="F58" i="40" s="1"/>
  <c r="B52" i="40"/>
  <c r="F52" i="40" s="1"/>
  <c r="B55" i="40"/>
  <c r="F55" i="40" s="1"/>
  <c r="B51" i="40"/>
  <c r="F51" i="40" s="1"/>
  <c r="F60" i="40" s="1"/>
  <c r="B2" i="40" s="1"/>
  <c r="B3" i="40" s="1"/>
  <c r="B59" i="40"/>
  <c r="F59" i="40" s="1"/>
  <c r="B23" i="31" l="1"/>
  <c r="R25" i="31"/>
  <c r="B2" i="31" l="1"/>
  <c r="C34" i="57" s="1"/>
  <c r="H125" i="57" s="1"/>
  <c r="B24" i="31"/>
  <c r="B3" i="31" s="1"/>
  <c r="C35" i="57" s="1"/>
  <c r="I125" i="57" s="1"/>
  <c r="C108" i="57" l="1"/>
  <c r="D111" i="57"/>
  <c r="I105" i="57"/>
  <c r="C107" i="57"/>
  <c r="D110" i="57"/>
  <c r="I104" i="57"/>
  <c r="H126" i="57"/>
  <c r="D47" i="57" l="1"/>
  <c r="I112" i="57"/>
  <c r="N50" i="57"/>
  <c r="D121" i="57"/>
  <c r="D116" i="57"/>
  <c r="D117" i="57" s="1"/>
  <c r="D121" i="9"/>
  <c r="F121" i="9"/>
  <c r="H121" i="9"/>
  <c r="H4" i="52" s="1"/>
  <c r="F122" i="9" l="1"/>
  <c r="F5" i="52" s="1"/>
  <c r="B42" i="60" s="1"/>
  <c r="F4" i="52"/>
  <c r="B40" i="60" s="1"/>
  <c r="D122" i="9"/>
  <c r="D5" i="52" s="1"/>
  <c r="B39" i="60" s="1"/>
  <c r="D4" i="52"/>
  <c r="B37" i="60" s="1"/>
  <c r="H122" i="9"/>
  <c r="H5" i="52" s="1"/>
  <c r="D14" i="62"/>
  <c r="I117" i="57"/>
  <c r="N51" i="57"/>
  <c r="D129" i="57"/>
  <c r="I113" i="57"/>
  <c r="D55" i="57"/>
  <c r="D50" i="57" s="1"/>
  <c r="N54" i="57" s="1"/>
  <c r="D61" i="57"/>
  <c r="N57" i="57" s="1"/>
  <c r="C87" i="57"/>
  <c r="C74" i="57"/>
  <c r="D54" i="57"/>
  <c r="C66" i="57"/>
  <c r="C65" i="57" s="1"/>
  <c r="C69" i="57" s="1"/>
  <c r="C70" i="57" s="1"/>
  <c r="D56" i="57" s="1"/>
  <c r="C95" i="57"/>
  <c r="C88" i="57" s="1"/>
  <c r="C80" i="57"/>
  <c r="C75" i="57" s="1"/>
  <c r="D57" i="57"/>
  <c r="N55" i="57" s="1"/>
  <c r="I102" i="9"/>
  <c r="C103" i="9"/>
  <c r="D106" i="9"/>
  <c r="D112" i="9" s="1"/>
  <c r="I121" i="9"/>
  <c r="I4" i="52" s="1"/>
  <c r="G121" i="9"/>
  <c r="G4" i="52" s="1"/>
  <c r="B41" i="60" s="1"/>
  <c r="E121" i="9"/>
  <c r="E4" i="52" s="1"/>
  <c r="B38" i="60" s="1"/>
  <c r="D7" i="50" l="1"/>
  <c r="D28" i="50"/>
  <c r="D29" i="50" s="1"/>
  <c r="F14" i="62"/>
  <c r="E14" i="62"/>
  <c r="B5" i="62"/>
  <c r="C81" i="57"/>
  <c r="C82" i="57" s="1"/>
  <c r="E82" i="57" s="1"/>
  <c r="E83" i="57" s="1"/>
  <c r="C97" i="57"/>
  <c r="C98" i="57" s="1"/>
  <c r="E98" i="57" s="1"/>
  <c r="E99" i="57" s="1"/>
  <c r="D130" i="57"/>
  <c r="M68" i="57"/>
  <c r="N68" i="57" s="1"/>
  <c r="M67" i="57"/>
  <c r="N67" i="57" s="1"/>
  <c r="M65" i="57"/>
  <c r="N65" i="57" s="1"/>
  <c r="M66" i="57"/>
  <c r="N66" i="57" s="1"/>
  <c r="M70" i="57"/>
  <c r="N70" i="57" s="1"/>
  <c r="M69" i="57"/>
  <c r="N69" i="57" s="1"/>
  <c r="C99" i="57"/>
  <c r="D60" i="57" s="1"/>
  <c r="D58" i="57" s="1"/>
  <c r="N56" i="57" s="1"/>
  <c r="O59" i="57" s="1"/>
  <c r="O60" i="57" s="1"/>
  <c r="I103" i="9"/>
  <c r="D107" i="9"/>
  <c r="D113" i="9" s="1"/>
  <c r="C104" i="9"/>
  <c r="D117" i="9"/>
  <c r="I110" i="9"/>
  <c r="D45" i="9"/>
  <c r="N48" i="9"/>
  <c r="I115" i="9" l="1"/>
  <c r="D23" i="50" s="1"/>
  <c r="B34" i="60" s="1"/>
  <c r="D44" i="50"/>
  <c r="I111" i="9"/>
  <c r="D38" i="50"/>
  <c r="B62" i="60" s="1"/>
  <c r="D15" i="50"/>
  <c r="D36" i="50"/>
  <c r="D37" i="50" s="1"/>
  <c r="D30" i="50"/>
  <c r="D9" i="50"/>
  <c r="B21" i="60" s="1"/>
  <c r="B19" i="60"/>
  <c r="D8" i="50"/>
  <c r="B22" i="60" s="1"/>
  <c r="C83" i="57"/>
  <c r="C5" i="62"/>
  <c r="D5" i="62"/>
  <c r="N71" i="57"/>
  <c r="O71" i="57" s="1"/>
  <c r="D10" i="52"/>
  <c r="Q59" i="57"/>
  <c r="O61" i="57"/>
  <c r="O63" i="57" s="1"/>
  <c r="D125" i="9"/>
  <c r="N49" i="9"/>
  <c r="C93" i="9"/>
  <c r="C86" i="9" s="1"/>
  <c r="D53" i="9"/>
  <c r="D48" i="9" s="1"/>
  <c r="N52" i="9" s="1"/>
  <c r="O57" i="9" s="1"/>
  <c r="C72" i="9"/>
  <c r="C78" i="9"/>
  <c r="C73" i="9" s="1"/>
  <c r="C64" i="9"/>
  <c r="C63" i="9" s="1"/>
  <c r="C67" i="9" s="1"/>
  <c r="C68" i="9" s="1"/>
  <c r="D54" i="9" s="1"/>
  <c r="D52" i="9"/>
  <c r="C85" i="9"/>
  <c r="G14" i="62" l="1"/>
  <c r="B6" i="62" s="1"/>
  <c r="C6" i="62" s="1"/>
  <c r="D8" i="52"/>
  <c r="D16" i="50"/>
  <c r="B30" i="60" s="1"/>
  <c r="B29" i="60"/>
  <c r="D126" i="9"/>
  <c r="D9" i="52" s="1"/>
  <c r="D17" i="50"/>
  <c r="D6" i="62"/>
  <c r="O62" i="57"/>
  <c r="C95" i="9"/>
  <c r="C96" i="9" s="1"/>
  <c r="E96" i="9" s="1"/>
  <c r="E97" i="9" s="1"/>
  <c r="Q57" i="9"/>
  <c r="O58" i="9"/>
  <c r="M68" i="9"/>
  <c r="N68" i="9" s="1"/>
  <c r="M66" i="9"/>
  <c r="N66" i="9" s="1"/>
  <c r="M67" i="9"/>
  <c r="N67" i="9" s="1"/>
  <c r="M63" i="9"/>
  <c r="N63" i="9" s="1"/>
  <c r="O59" i="9"/>
  <c r="M64" i="9"/>
  <c r="N64" i="9" s="1"/>
  <c r="M65" i="9"/>
  <c r="N65" i="9" s="1"/>
  <c r="C97" i="9"/>
  <c r="D58" i="9" s="1"/>
  <c r="C79" i="9"/>
  <c r="N69" i="9" l="1"/>
  <c r="O69" i="9" s="1"/>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<sst xmlns="http://schemas.openxmlformats.org/spreadsheetml/2006/main" count="6934" uniqueCount="3068">
  <si>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</si>
  <si>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</si>
  <si>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</si>
  <si>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</si>
  <si>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</si>
  <si>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</si>
  <si>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</si>
  <si>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</si>
  <si>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</si>
  <si>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</si>
  <si>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</si>
  <si>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</si>
  <si>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</si>
  <si>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</si>
  <si>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</si>
  <si>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</si>
  <si>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</si>
  <si>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</si>
  <si>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</si>
  <si>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</si>
  <si>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</si>
  <si>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</si>
  <si>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</si>
  <si>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</si>
  <si>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</si>
  <si>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</si>
  <si>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</si>
  <si>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</si>
  <si>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</si>
  <si>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</si>
  <si>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</si>
  <si>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</si>
  <si>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</si>
  <si>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</si>
  <si>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</si>
  <si>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</si>
  <si>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</si>
  <si>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</si>
  <si>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</si>
  <si>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</si>
  <si>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</si>
  <si>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</si>
  <si>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</si>
  <si>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</si>
  <si>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</si>
  <si>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</si>
  <si>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</si>
  <si>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</si>
  <si>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</si>
  <si>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</si>
  <si>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</si>
  <si>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</si>
  <si>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</si>
  <si>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</si>
  <si>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</si>
  <si>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</si>
  <si>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</si>
  <si>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</si>
  <si>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</si>
  <si>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</si>
  <si>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</si>
  <si>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</si>
  <si>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</si>
  <si>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</si>
  <si>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</si>
  <si>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</si>
  <si>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</si>
  <si>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</si>
  <si>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</si>
  <si>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</si>
  <si>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</si>
  <si>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</si>
  <si>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</si>
  <si>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</si>
  <si>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</si>
  <si>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</si>
  <si>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</si>
  <si>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</si>
  <si>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</si>
  <si>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</si>
  <si>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</si>
  <si>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</si>
  <si>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</si>
  <si>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</si>
  <si>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</si>
  <si>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</si>
  <si>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</si>
  <si>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</si>
  <si>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</si>
  <si>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</si>
  <si>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</si>
  <si>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</si>
  <si>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</si>
  <si>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</si>
  <si>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</si>
  <si>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</si>
  <si>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</si>
  <si>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</si>
  <si>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</si>
  <si>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</si>
  <si>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</si>
  <si>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</si>
  <si>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</si>
  <si>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</si>
  <si>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</si>
  <si>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</si>
  <si>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</si>
  <si>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</si>
  <si>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</si>
  <si>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</si>
  <si>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</si>
  <si>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</si>
  <si>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</si>
  <si>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</si>
  <si>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</si>
  <si>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</si>
  <si>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</si>
  <si>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</si>
  <si>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</si>
  <si>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</si>
  <si>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</si>
  <si>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</si>
  <si>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</si>
  <si>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</si>
  <si>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</si>
  <si>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</si>
  <si>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</si>
  <si>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</si>
  <si>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</si>
  <si>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</si>
  <si>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</si>
  <si>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</si>
  <si>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</si>
  <si>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</si>
  <si>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</si>
  <si>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</si>
  <si>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</si>
  <si>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</si>
  <si>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</si>
  <si>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</si>
  <si>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</si>
  <si>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</si>
  <si>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</si>
  <si>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</si>
  <si>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</si>
  <si>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</si>
  <si>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</si>
  <si>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</si>
  <si>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</si>
  <si>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</si>
  <si>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</si>
  <si>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</si>
  <si>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</si>
  <si>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</si>
  <si>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</si>
  <si>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</si>
  <si>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</si>
  <si>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</si>
  <si>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</si>
  <si>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</si>
  <si>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</si>
  <si>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</si>
  <si>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</si>
  <si>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</si>
  <si>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</si>
  <si>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</si>
  <si>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</si>
  <si>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</si>
  <si>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</si>
  <si>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</si>
  <si>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</si>
  <si>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</si>
  <si>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</si>
  <si>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</si>
  <si>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</si>
  <si>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</si>
  <si>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</si>
  <si>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</si>
  <si>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</si>
  <si>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</si>
  <si>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</si>
  <si>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</si>
  <si>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</si>
  <si>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</si>
  <si>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</si>
  <si>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</si>
  <si>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</si>
  <si>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</si>
  <si>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</si>
  <si>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</si>
  <si>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</si>
  <si>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</si>
  <si>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</si>
  <si>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</si>
  <si>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</si>
  <si>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</si>
  <si>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</si>
  <si>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</si>
  <si>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</si>
  <si>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</si>
  <si>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</si>
  <si>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</si>
  <si>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</si>
  <si>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</si>
  <si>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</si>
  <si>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</si>
  <si>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</si>
  <si>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</si>
  <si>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</si>
  <si>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</si>
  <si>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</si>
  <si>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</si>
  <si>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</si>
  <si>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</si>
  <si>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</si>
  <si>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</si>
  <si>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</si>
  <si>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</si>
  <si>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</si>
  <si>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</si>
  <si>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</si>
  <si>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</si>
  <si>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</si>
  <si>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</si>
  <si>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</si>
  <si>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</si>
  <si>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</si>
  <si>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</si>
  <si>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</si>
  <si>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</si>
  <si>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</si>
  <si>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</si>
  <si>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</si>
  <si>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</si>
  <si>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</si>
  <si>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</si>
  <si>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</si>
  <si>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</si>
  <si>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</si>
  <si>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</si>
  <si>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</si>
  <si>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</si>
  <si>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</si>
  <si>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</si>
  <si>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</si>
  <si>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</si>
  <si>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</si>
  <si>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</si>
  <si>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</si>
  <si>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</si>
  <si>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</si>
  <si>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</si>
  <si>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</si>
  <si>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</si>
  <si>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</si>
  <si>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</si>
  <si>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</si>
  <si>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</si>
  <si>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</si>
  <si>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</si>
  <si>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</si>
  <si>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</si>
  <si>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</si>
  <si>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</si>
  <si>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</si>
  <si>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</si>
  <si>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</si>
  <si>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</si>
  <si>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</si>
  <si>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</si>
  <si>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</si>
  <si>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</si>
  <si>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</si>
  <si>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</si>
  <si>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</si>
  <si>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</si>
  <si>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</si>
  <si>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</si>
  <si>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</si>
  <si>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</si>
  <si>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</si>
  <si>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</si>
  <si>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</si>
  <si>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</si>
  <si>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</si>
  <si>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</si>
  <si>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</si>
  <si>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</si>
  <si>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</si>
  <si>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</si>
  <si>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</si>
  <si>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</si>
  <si>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</si>
  <si>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</si>
  <si>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</si>
  <si>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</si>
  <si>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</si>
  <si>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</si>
  <si>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</si>
  <si>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</si>
  <si>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</si>
  <si>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</si>
  <si>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</si>
  <si>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</si>
  <si>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</si>
  <si>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</si>
  <si>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</si>
  <si>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</si>
  <si>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</si>
  <si>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</si>
  <si>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</si>
  <si>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</si>
  <si>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</si>
  <si>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</si>
  <si>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</si>
  <si>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</si>
  <si>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</si>
  <si>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</si>
  <si>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</si>
  <si>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</si>
  <si>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</si>
  <si>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</si>
  <si>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</si>
  <si>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</si>
  <si>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</si>
  <si>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</si>
  <si>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</si>
  <si>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</si>
  <si>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</si>
  <si>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</si>
  <si>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</si>
  <si>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</si>
  <si>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</si>
  <si>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</si>
  <si>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</si>
  <si>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</si>
  <si>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</si>
  <si>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</si>
  <si>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</si>
  <si>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</si>
  <si>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</si>
  <si>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</si>
  <si>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</si>
  <si>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</si>
  <si>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</si>
  <si>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</si>
  <si>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</si>
  <si>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</si>
  <si>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</si>
  <si>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</si>
  <si>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</si>
  <si>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</si>
  <si>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</si>
  <si>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</si>
  <si>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</si>
  <si>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</si>
  <si>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</si>
  <si>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</si>
  <si>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</si>
  <si>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</si>
  <si>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</si>
  <si>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</si>
  <si>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</si>
  <si>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</si>
  <si>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</si>
  <si>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</si>
  <si>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</si>
  <si>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</si>
  <si>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</si>
  <si>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</si>
  <si>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</si>
  <si>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</si>
  <si>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</si>
  <si>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</si>
  <si>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</si>
  <si>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</si>
  <si>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</si>
  <si>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</si>
  <si>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</si>
  <si>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</si>
  <si>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</si>
  <si>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</si>
  <si>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</si>
  <si>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</si>
  <si>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</si>
  <si>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</si>
  <si>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</si>
  <si>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</si>
  <si>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</si>
  <si>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</si>
  <si>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</si>
  <si>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</si>
  <si>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</si>
  <si>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</si>
  <si>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</si>
  <si>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</si>
  <si>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</si>
  <si>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</si>
  <si>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</si>
  <si>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</si>
  <si>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</si>
  <si>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</si>
  <si>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</si>
  <si>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</si>
  <si>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</si>
  <si>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</si>
  <si>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</si>
  <si>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</si>
  <si>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</si>
  <si>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</si>
  <si>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</si>
  <si>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</si>
  <si>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</si>
  <si>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</si>
  <si>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</si>
  <si>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</si>
  <si>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</si>
  <si>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</si>
  <si>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</si>
  <si>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</si>
  <si>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</si>
  <si>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</si>
  <si>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</si>
  <si>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</si>
  <si>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</si>
  <si>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</si>
  <si>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</si>
  <si>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</si>
  <si>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</si>
  <si>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</si>
  <si>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</si>
  <si>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</si>
  <si>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</si>
  <si>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</si>
  <si>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</si>
  <si>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</si>
  <si>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</si>
  <si>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</si>
  <si>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</si>
  <si>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</si>
  <si>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</si>
  <si>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</si>
  <si>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</si>
  <si>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</si>
  <si>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</si>
  <si>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</si>
  <si>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</si>
  <si>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</si>
  <si>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</si>
  <si>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</si>
  <si>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</si>
  <si>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</si>
  <si>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</si>
  <si>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</si>
  <si>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</si>
  <si>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</si>
  <si>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</si>
  <si>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</si>
  <si>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</si>
  <si>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</si>
  <si>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</si>
  <si>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</si>
  <si>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</si>
  <si>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</si>
  <si>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</si>
  <si>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</si>
  <si>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</si>
  <si>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</si>
  <si>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</si>
  <si>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</si>
  <si>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</si>
  <si>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</si>
  <si>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</si>
  <si>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</si>
  <si>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</si>
  <si>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</si>
  <si>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</si>
  <si>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</si>
  <si>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</si>
  <si>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</si>
  <si>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</si>
  <si>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</si>
  <si>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</si>
  <si>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</si>
  <si>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</si>
  <si>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</si>
  <si>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</si>
  <si>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</si>
  <si>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</si>
  <si>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</si>
  <si>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</si>
  <si>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</si>
  <si>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</si>
  <si>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</si>
  <si>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</si>
  <si>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</si>
  <si>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</si>
  <si>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</si>
  <si>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</si>
  <si>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</si>
  <si>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</si>
  <si>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</si>
  <si>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</si>
  <si>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</si>
  <si>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</si>
  <si>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</si>
  <si>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</si>
  <si>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</si>
  <si>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</si>
  <si>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</si>
  <si>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</si>
  <si>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</si>
  <si>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</si>
  <si>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</si>
  <si>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</si>
  <si>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</si>
  <si>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</si>
  <si>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</si>
  <si>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</si>
  <si>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</si>
  <si>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</si>
  <si>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</si>
  <si>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</si>
  <si>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</si>
  <si>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</si>
  <si>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</si>
  <si>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</si>
  <si>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</si>
  <si>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</si>
  <si>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</si>
  <si>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</si>
  <si>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</si>
  <si>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</si>
  <si>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</si>
  <si>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</si>
  <si>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</si>
  <si>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</si>
  <si>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</si>
  <si>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</si>
  <si>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</si>
  <si>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</si>
  <si>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</si>
  <si>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</si>
  <si>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</si>
  <si>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</si>
  <si>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</si>
  <si>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</si>
  <si>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</si>
  <si>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</si>
  <si>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</si>
  <si>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</si>
  <si>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</si>
  <si>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</si>
  <si>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</si>
  <si>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</si>
  <si>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</si>
  <si>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</si>
  <si>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</si>
  <si>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</si>
  <si>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</si>
  <si>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</si>
  <si>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</si>
  <si>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</si>
  <si>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</si>
  <si>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</si>
  <si>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</si>
  <si>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</si>
  <si>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</si>
  <si>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</si>
  <si>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</si>
  <si>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</si>
  <si>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</si>
  <si>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</si>
  <si>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</si>
  <si>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</si>
  <si>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</si>
  <si>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</si>
  <si>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</si>
  <si>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</si>
  <si>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</si>
  <si>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</si>
  <si>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</si>
  <si>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</si>
  <si>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</si>
  <si>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</si>
  <si>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</si>
  <si>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</si>
  <si>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</si>
  <si>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</si>
  <si>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</si>
  <si>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</si>
  <si>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</si>
  <si>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</si>
  <si>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</si>
  <si>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</si>
  <si>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</si>
  <si>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</si>
  <si>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</si>
  <si>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</si>
  <si>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</si>
  <si>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</si>
  <si>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</si>
  <si>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</si>
  <si>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</si>
  <si>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</si>
  <si>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</si>
  <si>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</si>
  <si>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</si>
  <si>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</si>
  <si>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</si>
  <si>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</si>
  <si>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</si>
  <si>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</si>
  <si>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</si>
  <si>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</si>
  <si>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</si>
  <si>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</si>
  <si>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</si>
  <si>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</si>
  <si>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</si>
  <si>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</si>
  <si>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</si>
  <si>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</si>
  <si>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</si>
  <si>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</si>
  <si>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</si>
  <si>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</si>
  <si>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</si>
  <si>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</si>
  <si>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</si>
  <si>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</si>
  <si>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</si>
  <si>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</si>
  <si>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</si>
  <si>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</si>
  <si>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</si>
  <si>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</si>
  <si>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</si>
  <si>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</si>
  <si>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</si>
  <si>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</si>
  <si>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</si>
  <si>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</si>
  <si>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</si>
  <si>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</si>
  <si>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</si>
  <si>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</si>
  <si>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</si>
  <si>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</si>
  <si>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</si>
  <si>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</si>
  <si>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</si>
  <si>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</si>
  <si>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</si>
  <si>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</si>
  <si>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</si>
  <si>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</si>
  <si>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</si>
  <si>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</si>
  <si>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</si>
  <si>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</si>
  <si>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</si>
  <si>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</si>
  <si>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</si>
  <si>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</si>
  <si>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</si>
  <si>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</si>
  <si>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</si>
  <si>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</si>
  <si>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</si>
  <si>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</si>
  <si>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</si>
  <si>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</si>
  <si>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</si>
  <si>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</si>
  <si>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</si>
  <si>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</si>
  <si>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</si>
  <si>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</si>
  <si>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</si>
  <si>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</si>
  <si>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</si>
  <si>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</si>
  <si>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</si>
  <si>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</si>
  <si>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</si>
  <si>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</si>
  <si>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</si>
  <si>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</si>
  <si>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</si>
  <si>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</si>
  <si>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</si>
  <si>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</si>
  <si>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</si>
  <si>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</si>
  <si>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</si>
  <si>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</si>
  <si>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</si>
  <si>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</si>
  <si>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</si>
  <si>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</si>
  <si>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</si>
  <si>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</si>
  <si>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</si>
  <si>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</si>
  <si>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</si>
  <si>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</si>
  <si>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</si>
  <si>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</si>
  <si>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</si>
  <si>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</si>
  <si>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</si>
  <si>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</si>
  <si>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</si>
  <si>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</si>
  <si>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</si>
  <si>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</si>
  <si>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</si>
  <si>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</si>
  <si>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</si>
  <si>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</si>
  <si>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</si>
  <si>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</si>
  <si>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</si>
  <si>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</si>
  <si>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</si>
  <si>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</si>
  <si>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</si>
  <si>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</si>
  <si>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</si>
  <si>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</si>
  <si>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</si>
  <si>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</si>
  <si>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</si>
  <si>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</si>
  <si>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</si>
  <si>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</si>
  <si>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</si>
  <si>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</si>
  <si>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</si>
  <si>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</si>
  <si>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</si>
  <si>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</si>
  <si>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</si>
  <si>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</si>
  <si>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</si>
  <si>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</si>
  <si>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</si>
  <si>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</si>
  <si>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</si>
  <si>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</si>
  <si>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</si>
  <si>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</si>
  <si>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</si>
  <si>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</si>
  <si>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</si>
  <si>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</si>
  <si>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</si>
  <si>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</si>
  <si>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</si>
  <si>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</si>
  <si>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</si>
  <si>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</si>
  <si>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</si>
  <si>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</si>
  <si>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</si>
  <si>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</si>
  <si>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</si>
  <si>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</si>
  <si>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</si>
  <si>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</si>
  <si>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</si>
  <si>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</si>
  <si>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</si>
  <si>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</si>
  <si>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</si>
  <si>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</si>
  <si>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</si>
  <si>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</si>
  <si>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</si>
  <si>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</si>
  <si>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</si>
  <si>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</si>
  <si>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</si>
  <si>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</si>
  <si>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</si>
  <si>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</si>
  <si>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</si>
  <si>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</si>
  <si>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</si>
  <si>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</si>
  <si>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</si>
  <si>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</si>
  <si>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</si>
  <si>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</si>
  <si>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</si>
  <si>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</si>
  <si>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</si>
  <si>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</si>
  <si>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</si>
  <si>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</si>
  <si>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</si>
  <si>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</si>
  <si>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</si>
  <si>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</si>
  <si>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</si>
  <si>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</si>
  <si>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</si>
  <si>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</si>
  <si>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</si>
  <si>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</si>
  <si>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</si>
  <si>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</si>
  <si>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</si>
  <si>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</si>
  <si>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</si>
  <si>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</si>
  <si>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</si>
  <si>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</si>
  <si>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</si>
  <si>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</si>
  <si>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</si>
  <si>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</si>
  <si>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</si>
  <si>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</si>
  <si>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</si>
  <si>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</si>
  <si>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</si>
  <si>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</si>
  <si>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</si>
  <si>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</si>
  <si>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</si>
  <si>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</si>
  <si>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</si>
  <si>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</si>
  <si>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</si>
  <si>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</si>
  <si>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</si>
  <si>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</si>
  <si>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</si>
  <si>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</si>
  <si>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</si>
  <si>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</si>
  <si>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</si>
  <si>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</si>
  <si>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</si>
  <si>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</si>
  <si>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</si>
  <si>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</si>
  <si>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</si>
  <si>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</si>
  <si>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</si>
  <si>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</si>
  <si>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</si>
  <si>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</si>
  <si>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</si>
  <si>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</si>
  <si>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</si>
  <si>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</si>
  <si>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</si>
  <si>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</si>
  <si>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</si>
  <si>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</si>
  <si>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</si>
  <si>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</si>
  <si>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</si>
  <si>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</si>
  <si>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</si>
  <si>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</si>
  <si>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</si>
  <si>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</si>
  <si>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</si>
  <si>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</si>
  <si>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</si>
  <si>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</si>
  <si>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</si>
  <si>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</si>
  <si>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</si>
  <si>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</si>
  <si>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</si>
  <si>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</si>
  <si>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</si>
  <si>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</si>
  <si>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</si>
  <si>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</si>
  <si>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</si>
  <si>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</si>
  <si>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</si>
  <si>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</si>
  <si>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</si>
  <si>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</si>
  <si>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</si>
  <si>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</si>
  <si>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</si>
  <si>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</si>
  <si>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</si>
  <si>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</si>
  <si>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</si>
  <si>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</si>
  <si>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</si>
  <si>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</si>
  <si>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</si>
  <si>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</si>
  <si>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</si>
  <si>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</si>
  <si>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</si>
  <si>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</si>
  <si>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</si>
  <si>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</si>
  <si>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</si>
  <si>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</si>
  <si>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</si>
  <si>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</si>
  <si>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</si>
  <si>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</si>
  <si>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</si>
  <si>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</si>
  <si>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</si>
  <si>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</si>
  <si>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</si>
  <si>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</si>
  <si>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</si>
  <si>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</si>
  <si>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</si>
  <si>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</si>
  <si>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</si>
  <si>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</si>
  <si>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</si>
  <si>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</si>
  <si>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</si>
  <si>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</si>
  <si>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</si>
  <si>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</si>
  <si>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</si>
  <si>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</si>
  <si>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</si>
  <si>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</si>
  <si>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</si>
  <si>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</si>
  <si>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</si>
  <si>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</si>
  <si>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</si>
  <si>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</si>
  <si>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</si>
  <si>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</si>
  <si>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</si>
  <si>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</si>
  <si>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</si>
  <si>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</si>
  <si>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</si>
  <si>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</si>
  <si>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</si>
  <si>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</si>
  <si>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</si>
  <si>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</si>
  <si>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</si>
  <si>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</si>
  <si>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</si>
  <si>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</si>
  <si>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</si>
  <si>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</si>
  <si>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</si>
  <si>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</si>
  <si>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</si>
  <si>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</si>
  <si>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</si>
  <si>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</si>
  <si>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</si>
  <si>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</si>
  <si>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</si>
  <si>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</si>
  <si>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</si>
  <si>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</si>
  <si>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</si>
  <si>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</si>
  <si>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</si>
  <si>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</si>
  <si>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</si>
  <si>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</si>
  <si>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</si>
  <si>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</si>
  <si>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</si>
  <si>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</si>
  <si>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</si>
  <si>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</si>
  <si>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</si>
  <si>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</si>
  <si>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</si>
  <si>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</si>
  <si>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</si>
  <si>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</si>
  <si>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</si>
  <si>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</si>
  <si>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</si>
  <si>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</si>
  <si>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</si>
  <si>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</si>
  <si>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</si>
  <si>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</si>
  <si>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</si>
  <si>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</si>
  <si>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</si>
  <si>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</si>
  <si>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</si>
  <si>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</si>
  <si>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</si>
  <si>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</si>
  <si>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</si>
  <si>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</si>
  <si>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</si>
  <si>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</si>
  <si>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</si>
  <si>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</si>
  <si>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</si>
  <si>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</si>
  <si>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</si>
  <si>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</si>
  <si>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</si>
  <si>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</si>
  <si>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</si>
  <si>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</si>
  <si>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</si>
  <si>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</si>
  <si>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</si>
  <si>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</si>
  <si>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</si>
  <si>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</si>
  <si>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</si>
  <si>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</si>
  <si>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</si>
  <si>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</si>
  <si>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</si>
  <si>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</si>
  <si>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</si>
  <si>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</si>
  <si>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</si>
  <si>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</si>
  <si>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</si>
  <si>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</si>
  <si>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</si>
  <si>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</si>
  <si>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</si>
  <si>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</si>
  <si>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</si>
  <si>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</si>
  <si>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</si>
  <si>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</si>
  <si>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</si>
  <si>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</si>
  <si>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</si>
  <si>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</si>
  <si>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</si>
  <si>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</si>
  <si>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</si>
  <si>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</si>
  <si>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</si>
  <si>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</si>
  <si>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</si>
  <si>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</si>
  <si>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</si>
  <si>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</si>
  <si>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</si>
  <si>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</si>
  <si>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</si>
  <si>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</si>
  <si>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</si>
  <si>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</si>
  <si>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</si>
  <si>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</si>
  <si>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</si>
  <si>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</si>
  <si>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</si>
  <si>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</si>
  <si>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</si>
  <si>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</si>
  <si>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</si>
  <si>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</si>
  <si>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</si>
  <si>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</si>
  <si>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</si>
  <si>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</si>
  <si>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</si>
  <si>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</si>
  <si>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</si>
  <si>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</si>
  <si>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</si>
  <si>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</si>
  <si>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</si>
  <si>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</si>
  <si>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</si>
  <si>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</si>
  <si>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</si>
  <si>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</si>
  <si>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</si>
  <si>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</si>
  <si>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</si>
  <si>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</si>
  <si>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</si>
  <si>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</si>
  <si>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</si>
  <si>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</si>
  <si>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</si>
  <si>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</si>
  <si>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</si>
  <si>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</si>
  <si>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</si>
  <si>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</si>
  <si>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</si>
  <si>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</si>
  <si>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</si>
  <si>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</si>
  <si>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</si>
  <si>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</si>
  <si>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</si>
  <si>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</si>
  <si>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</si>
  <si>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</si>
  <si>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</si>
  <si>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</si>
  <si>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</si>
  <si>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</si>
  <si>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</si>
  <si>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</si>
  <si>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</si>
  <si>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</si>
  <si>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</si>
  <si>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</si>
  <si>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</si>
  <si>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</si>
  <si>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</si>
  <si>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</si>
  <si>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</si>
  <si>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</si>
  <si>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</si>
  <si>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</si>
  <si>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</si>
  <si>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</si>
  <si>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</si>
  <si>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</si>
  <si>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</si>
  <si>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</si>
  <si>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</si>
  <si>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</si>
  <si>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</si>
  <si>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</si>
  <si>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</si>
  <si>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</si>
  <si>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</si>
  <si>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</si>
  <si>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</si>
  <si>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</si>
  <si>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</si>
  <si>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</si>
  <si>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</si>
  <si>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</si>
  <si>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</si>
  <si>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</si>
  <si>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</si>
  <si>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</si>
  <si>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</si>
  <si>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</si>
  <si>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</si>
  <si>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</si>
  <si>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</si>
  <si>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</si>
  <si>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</si>
  <si>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</si>
  <si>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</si>
  <si>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</si>
  <si>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</si>
  <si>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</si>
  <si>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</si>
  <si>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</si>
  <si>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</si>
  <si>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</si>
  <si>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</si>
  <si>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</si>
  <si>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</si>
  <si>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</si>
  <si>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</si>
  <si>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</si>
  <si>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</si>
  <si>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</si>
  <si>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</si>
  <si>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</si>
  <si>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</si>
  <si>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</si>
  <si>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</si>
  <si>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</si>
  <si>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</si>
  <si>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</si>
  <si>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</si>
  <si>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</si>
  <si>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</si>
  <si>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</si>
  <si>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</si>
  <si>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</si>
  <si>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</si>
  <si>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</si>
  <si>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</si>
  <si>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</si>
  <si>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</si>
  <si>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</si>
  <si>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</si>
  <si>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</si>
  <si>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</si>
  <si>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</si>
  <si>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</si>
  <si>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</si>
  <si>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</si>
  <si>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</si>
  <si>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</si>
  <si>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</si>
  <si>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</si>
  <si>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</si>
  <si>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</si>
  <si>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</si>
  <si>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</si>
  <si>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</si>
  <si>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</si>
  <si>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</si>
  <si>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</si>
  <si>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</si>
  <si>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</si>
  <si>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</si>
  <si>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</si>
  <si>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</si>
  <si>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</si>
  <si>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</si>
  <si>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</si>
  <si>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</si>
  <si>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</si>
  <si>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</si>
  <si>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</si>
  <si>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</si>
  <si>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</si>
  <si>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</si>
  <si>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</si>
  <si>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</si>
  <si>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</si>
  <si>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</si>
  <si>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</si>
  <si>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</si>
  <si>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</si>
  <si>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</si>
  <si>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</si>
  <si>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</si>
  <si>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</si>
  <si>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</si>
  <si>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</si>
  <si>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</si>
  <si>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</si>
  <si>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</si>
  <si>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</si>
  <si>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</si>
  <si>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</si>
  <si>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</si>
  <si>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</si>
  <si>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</si>
  <si>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</si>
  <si>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</si>
  <si>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</si>
  <si>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</si>
  <si>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</si>
  <si>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</si>
  <si>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</si>
  <si>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</si>
  <si>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</si>
  <si>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</si>
  <si>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</si>
  <si>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</si>
  <si>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</si>
  <si>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</si>
  <si>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</si>
  <si>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</si>
  <si>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</si>
  <si>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</si>
  <si>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</si>
  <si>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</si>
  <si>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</si>
  <si>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</si>
  <si>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</si>
  <si>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</si>
  <si>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</si>
  <si>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</si>
  <si>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</si>
  <si>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</si>
  <si>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</si>
  <si>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</si>
  <si>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</si>
  <si>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</si>
  <si>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</si>
  <si>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</si>
  <si>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</si>
  <si>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</si>
  <si>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</si>
  <si>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</si>
  <si>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</si>
  <si>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</si>
  <si>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</si>
  <si>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</si>
  <si>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</si>
  <si>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</si>
  <si>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</si>
  <si>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</si>
  <si>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</si>
  <si>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</si>
  <si>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</si>
  <si>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</si>
  <si>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</si>
  <si>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</si>
  <si>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</si>
  <si>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</si>
  <si>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</si>
  <si>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</si>
  <si>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</si>
  <si>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</si>
  <si>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</si>
  <si>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</si>
  <si>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</si>
  <si>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</si>
  <si>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</si>
  <si>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</si>
  <si>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</si>
  <si>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</si>
  <si>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</si>
  <si>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</si>
  <si>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</si>
  <si>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</si>
  <si>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</si>
  <si>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</si>
  <si>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</si>
  <si>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</si>
  <si>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</si>
  <si>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</si>
  <si>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</si>
  <si>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</si>
  <si>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</si>
  <si>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</si>
  <si>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</si>
  <si>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</si>
  <si>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</si>
  <si>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</si>
  <si>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</si>
  <si>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</si>
  <si>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</si>
  <si>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</si>
  <si>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</si>
  <si>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</si>
  <si>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</si>
  <si>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</si>
  <si>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</si>
  <si>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</si>
  <si>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</si>
  <si>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</si>
  <si>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</si>
  <si>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</si>
  <si>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</si>
  <si>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</si>
  <si>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</si>
  <si>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</si>
  <si>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</si>
  <si>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</si>
  <si>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</si>
  <si>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</si>
  <si>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</si>
  <si>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</si>
  <si>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</si>
  <si>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</si>
  <si>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</si>
  <si>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</si>
  <si>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</si>
  <si>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</si>
  <si>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</si>
  <si>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</si>
  <si>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</si>
  <si>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</si>
  <si>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</si>
  <si>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</si>
  <si>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</si>
  <si>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</si>
  <si>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</si>
  <si>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</si>
  <si>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</si>
  <si>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</si>
  <si>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</si>
  <si>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</si>
  <si>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</si>
  <si>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</si>
  <si>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</si>
  <si>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</si>
  <si>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</si>
  <si>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</si>
  <si>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</si>
  <si>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</si>
  <si>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</si>
  <si>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</si>
  <si>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</si>
  <si>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</si>
  <si>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</si>
  <si>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</si>
  <si>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</si>
  <si>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</si>
  <si>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</si>
  <si>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</si>
  <si>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</si>
  <si>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</si>
  <si>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</si>
  <si>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</si>
  <si>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</si>
  <si>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</si>
  <si>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</si>
  <si>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</si>
  <si>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</si>
  <si>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</si>
  <si>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</si>
  <si>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</si>
  <si>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</si>
  <si>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</si>
  <si>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</si>
  <si>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</si>
  <si>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</si>
  <si>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</si>
  <si>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</si>
  <si>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</si>
  <si>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</si>
  <si>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</si>
  <si>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</si>
  <si>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</si>
  <si>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</si>
  <si>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</si>
  <si>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</si>
  <si>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</si>
  <si>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</si>
  <si>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</si>
  <si>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</si>
  <si>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</si>
  <si>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</si>
  <si>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</si>
  <si>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</si>
  <si>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</si>
  <si>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</si>
  <si>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</si>
  <si>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</si>
  <si>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</si>
  <si>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</si>
  <si>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</si>
  <si>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</si>
  <si>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</si>
  <si>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</si>
  <si>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</si>
  <si>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</si>
  <si>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</si>
  <si>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</si>
  <si>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</si>
  <si>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</si>
  <si>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</si>
  <si>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</si>
  <si>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</si>
  <si>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</si>
  <si>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</si>
  <si>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</si>
  <si>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</si>
  <si>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</si>
  <si>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</si>
  <si>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</si>
  <si>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</si>
  <si>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</si>
  <si>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</si>
  <si>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</si>
  <si>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</si>
  <si>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</si>
  <si>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</si>
  <si>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</si>
  <si>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</si>
  <si>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</si>
  <si>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</si>
  <si>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</si>
  <si>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</si>
  <si>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</si>
  <si>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</si>
  <si>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</si>
  <si>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</si>
  <si>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</si>
  <si>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</si>
  <si>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</si>
  <si>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</si>
  <si>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</si>
  <si>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</si>
  <si>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</si>
  <si>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</si>
  <si>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</si>
  <si>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</si>
  <si>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</si>
  <si>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</si>
  <si>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</si>
  <si>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</si>
  <si>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</si>
  <si>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</si>
  <si>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</si>
  <si>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</si>
  <si>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</si>
  <si>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</si>
  <si>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</si>
  <si>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</si>
  <si>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</si>
  <si>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</si>
  <si>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</si>
  <si>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</si>
  <si>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</si>
  <si>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</si>
  <si>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</si>
  <si>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</si>
  <si>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</si>
  <si>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</si>
  <si>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</si>
  <si>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</si>
  <si>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</si>
  <si>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</si>
  <si>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</si>
  <si>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</si>
  <si>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</si>
  <si>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</si>
  <si>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</si>
  <si>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</si>
  <si>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</si>
  <si>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</si>
  <si>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</si>
  <si>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</si>
  <si>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</si>
  <si>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</si>
  <si>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</si>
  <si>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</si>
  <si>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</si>
  <si>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</si>
  <si>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</si>
  <si>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</si>
  <si>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</si>
  <si>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</si>
  <si>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</si>
  <si>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</si>
  <si>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</si>
  <si>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</si>
  <si>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</si>
  <si>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</si>
  <si>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</si>
  <si>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</si>
  <si>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</si>
  <si>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</si>
  <si>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</si>
  <si>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</si>
  <si>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</si>
  <si>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</si>
  <si>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</si>
  <si>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</si>
  <si>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</si>
  <si>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</si>
  <si>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</si>
  <si>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</si>
  <si>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</si>
  <si>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</si>
  <si>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</si>
  <si>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</si>
  <si>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</si>
  <si>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</si>
  <si>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</si>
  <si>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</si>
  <si>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</si>
  <si>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</si>
  <si>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</si>
  <si>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</si>
  <si>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</si>
  <si>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</si>
  <si>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</si>
  <si>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</si>
  <si>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</si>
  <si>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</si>
  <si>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</si>
  <si>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</si>
  <si>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</si>
  <si>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</si>
  <si>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</si>
  <si>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</si>
  <si>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</si>
  <si>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</si>
  <si>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</si>
  <si>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</si>
  <si>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</si>
  <si>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</si>
  <si>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</si>
  <si>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</si>
  <si>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</si>
  <si>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</si>
  <si>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</si>
  <si>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</si>
  <si>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</si>
  <si>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</si>
  <si>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</si>
  <si>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</si>
  <si>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</si>
  <si>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</si>
  <si>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</si>
  <si>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</si>
  <si>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</si>
  <si>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</si>
  <si>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</si>
  <si>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</si>
  <si>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</si>
  <si>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</si>
  <si>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</si>
  <si>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</si>
  <si>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</si>
  <si>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</si>
  <si>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</si>
  <si>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</si>
  <si>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</si>
  <si>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</si>
  <si>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</si>
  <si>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</si>
  <si>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</si>
  <si>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</si>
  <si>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</si>
  <si>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</si>
  <si>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</si>
  <si>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</si>
  <si>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</si>
  <si>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</si>
  <si>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</si>
  <si>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</si>
  <si>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</si>
  <si>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</si>
  <si>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</si>
  <si>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</si>
  <si>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</si>
  <si>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</si>
  <si>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</si>
  <si>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</si>
  <si>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</si>
  <si>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</si>
  <si>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</si>
  <si>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</si>
  <si>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</si>
  <si>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</si>
  <si>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</si>
  <si>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</si>
  <si>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</si>
  <si>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</si>
  <si>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</si>
  <si>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</si>
  <si>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</si>
  <si>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</si>
  <si>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</si>
  <si>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</si>
  <si>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</si>
  <si>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</si>
  <si>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</si>
  <si>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</si>
  <si>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</si>
  <si>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</si>
  <si>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</si>
  <si>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</si>
  <si>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</si>
  <si>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</si>
  <si>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</si>
  <si>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</si>
  <si>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</si>
  <si>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</si>
  <si>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</si>
  <si>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</si>
  <si>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</si>
  <si>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</si>
  <si>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</si>
  <si>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</si>
  <si>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</si>
  <si>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</si>
  <si>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</si>
  <si>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</si>
  <si>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</si>
  <si>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</si>
  <si>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</si>
  <si>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</si>
  <si>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</si>
  <si>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</si>
  <si>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</si>
  <si>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</si>
  <si>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</si>
  <si>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</si>
  <si>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</si>
  <si>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</si>
  <si>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</si>
  <si>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</si>
  <si>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</si>
  <si>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</si>
  <si>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</si>
  <si>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</si>
  <si>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</si>
  <si>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</si>
  <si>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</si>
  <si>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</si>
  <si>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</si>
  <si>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</si>
  <si>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</si>
  <si>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</si>
  <si>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</si>
  <si>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</si>
  <si>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</si>
  <si>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</si>
  <si>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</si>
  <si>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</si>
  <si>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</si>
  <si>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</si>
  <si>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</si>
  <si>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</si>
  <si>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</si>
  <si>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</si>
  <si>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</si>
  <si>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</si>
  <si>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</si>
  <si>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</si>
  <si>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</si>
  <si>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</si>
  <si>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</si>
  <si>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</si>
  <si>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</si>
  <si>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</si>
  <si>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</si>
  <si>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</si>
  <si>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</si>
  <si>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</si>
  <si>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</si>
  <si>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</si>
  <si>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</si>
  <si>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</si>
  <si>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</si>
  <si>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</si>
  <si>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</si>
  <si>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</si>
  <si>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</si>
  <si>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</si>
  <si>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</si>
  <si>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</si>
  <si>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</si>
  <si>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</si>
  <si>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</si>
  <si>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</si>
  <si>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</si>
  <si>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</si>
  <si>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</si>
  <si>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</si>
  <si>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</si>
  <si>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</si>
  <si>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</si>
  <si>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</si>
  <si>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</si>
  <si>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</si>
  <si>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</si>
  <si>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</si>
  <si>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</si>
  <si>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</si>
  <si>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</si>
  <si>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</si>
  <si>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</si>
  <si>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</si>
  <si>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</si>
  <si>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</si>
  <si>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</si>
  <si>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</si>
  <si>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</si>
  <si>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</si>
  <si>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</si>
  <si>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</si>
  <si>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</si>
  <si>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</si>
  <si>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</si>
  <si>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</si>
  <si>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</si>
  <si>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</si>
  <si>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</si>
  <si>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</si>
  <si>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</si>
  <si>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</si>
  <si>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</si>
  <si>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</si>
  <si>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</si>
  <si>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</si>
  <si>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</si>
  <si>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</si>
  <si>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</si>
  <si>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</si>
  <si>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</si>
  <si>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</si>
  <si>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</si>
  <si>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</si>
  <si>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</si>
  <si>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</si>
  <si>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</si>
  <si>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</si>
  <si>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</si>
  <si>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</si>
  <si>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</si>
  <si>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</si>
  <si>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</si>
  <si>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</si>
  <si>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</si>
  <si>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</si>
  <si>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</si>
  <si>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</si>
  <si>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</si>
  <si>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</si>
  <si>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</si>
  <si>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</si>
  <si>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</si>
  <si>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</si>
  <si>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</si>
  <si>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</si>
  <si>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</si>
  <si>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</si>
  <si>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</si>
  <si>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</si>
  <si>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</si>
  <si>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</si>
  <si>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</si>
  <si>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</si>
  <si>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</si>
  <si>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</si>
  <si>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</si>
  <si>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</si>
  <si>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</si>
  <si>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</si>
  <si>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</si>
  <si>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</si>
  <si>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</si>
  <si>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</si>
  <si>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</si>
  <si>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</si>
  <si>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</si>
  <si>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</si>
  <si>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</si>
  <si>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</si>
  <si>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</si>
  <si>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</si>
  <si>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</si>
  <si>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</si>
  <si>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</si>
  <si>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</si>
  <si>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</si>
  <si>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</si>
  <si>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</si>
  <si>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</si>
  <si>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</si>
  <si>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</si>
  <si>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</si>
  <si>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</si>
  <si>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</si>
  <si>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</si>
  <si>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</si>
  <si>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</si>
  <si>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</si>
  <si>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</si>
  <si>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</si>
  <si>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</si>
  <si>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</si>
  <si>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</si>
  <si>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</si>
  <si>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</si>
  <si>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</si>
  <si>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</si>
  <si>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</si>
  <si>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</si>
  <si>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</si>
  <si>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</si>
  <si>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</si>
  <si>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</si>
  <si>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</si>
  <si>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</si>
  <si>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</si>
  <si>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</si>
  <si>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</si>
  <si>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</si>
  <si>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</si>
  <si>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</si>
  <si>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</si>
  <si>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</si>
  <si>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</si>
  <si>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</si>
  <si>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</si>
  <si>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</si>
  <si>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</si>
  <si>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</si>
  <si>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</si>
  <si>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</si>
  <si>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</si>
  <si>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</si>
  <si>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</si>
  <si>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</si>
  <si>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</si>
  <si>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</si>
  <si>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</si>
  <si>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</si>
  <si>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</si>
  <si>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</si>
  <si>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</si>
  <si>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</si>
  <si>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</si>
  <si>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</si>
  <si>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</si>
  <si>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</si>
  <si>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</si>
  <si>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</si>
  <si>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</si>
  <si>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</si>
  <si>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</si>
  <si>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</si>
  <si>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</si>
  <si>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</si>
  <si>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</si>
  <si>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</si>
  <si>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</si>
  <si>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</si>
  <si>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</si>
  <si>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</si>
  <si>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</si>
  <si>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</si>
  <si>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</si>
  <si>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</si>
  <si>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</si>
  <si>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</si>
  <si>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</si>
  <si>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</si>
  <si>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</si>
  <si>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</si>
  <si>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</si>
  <si>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</si>
  <si>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</si>
  <si>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</si>
  <si>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</si>
  <si>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</si>
  <si>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</si>
  <si>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</si>
  <si>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</si>
  <si>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</si>
  <si>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</si>
  <si>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</si>
  <si>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</si>
  <si>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</si>
  <si>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</si>
  <si>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</si>
  <si>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</si>
  <si>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</si>
  <si>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</si>
  <si>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</si>
  <si>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</si>
  <si>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</si>
  <si>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</si>
  <si>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</si>
  <si>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</si>
  <si>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</si>
  <si>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</si>
  <si>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</si>
  <si>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</si>
  <si>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</si>
  <si>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</si>
  <si>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</si>
  <si>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</si>
  <si>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</si>
  <si>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</si>
  <si>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</si>
  <si>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</si>
  <si>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</si>
  <si>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</si>
  <si>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</si>
  <si>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</si>
  <si>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</si>
  <si>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</si>
  <si>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</si>
  <si>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</si>
  <si>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</si>
  <si>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</si>
  <si>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</si>
  <si>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</si>
  <si>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</si>
  <si>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</si>
  <si>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</si>
  <si>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</si>
  <si>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</si>
  <si>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</si>
  <si>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</si>
  <si>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</si>
  <si>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</si>
  <si>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</si>
  <si>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</si>
  <si>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</si>
  <si>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</si>
  <si>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</si>
  <si>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</si>
  <si>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</si>
  <si>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</si>
  <si>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</si>
  <si>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</si>
  <si>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</si>
  <si>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</si>
  <si>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</si>
  <si>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</si>
  <si>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</si>
  <si>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</si>
  <si>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</si>
  <si>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</si>
  <si>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</si>
  <si>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</si>
  <si>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</si>
  <si>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</si>
  <si>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</si>
  <si>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</si>
  <si>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</si>
  <si>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</si>
  <si>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</si>
  <si>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</si>
  <si>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</si>
  <si>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</si>
  <si>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</si>
  <si>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</si>
  <si>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</si>
  <si>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</si>
  <si>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</si>
  <si>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</si>
  <si>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</si>
  <si>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</si>
  <si>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</si>
  <si>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</si>
  <si>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</si>
  <si>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</si>
  <si>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</si>
  <si>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</si>
  <si>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</si>
  <si>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</si>
  <si>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</si>
  <si>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</si>
  <si>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</si>
  <si>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</si>
  <si>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</si>
  <si>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</si>
  <si>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</si>
  <si>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</si>
  <si>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</si>
  <si>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</si>
  <si>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</si>
  <si>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</si>
  <si>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</si>
  <si>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</si>
  <si>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</si>
  <si>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</si>
  <si>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</si>
  <si>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</si>
  <si>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</si>
  <si>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</si>
  <si>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</si>
  <si>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</si>
  <si>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</si>
  <si>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</si>
  <si>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</si>
  <si>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</si>
  <si>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</si>
  <si>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</si>
  <si>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</si>
  <si>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</si>
  <si>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</si>
  <si>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</si>
  <si>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</si>
  <si>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</si>
  <si>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</si>
  <si>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</si>
  <si>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</si>
  <si>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</si>
  <si>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</si>
  <si>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</si>
  <si>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</si>
  <si>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</si>
  <si>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</si>
  <si>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</si>
  <si>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</si>
  <si>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</si>
  <si>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</si>
  <si>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</si>
  <si>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</si>
  <si>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</si>
  <si>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</si>
  <si>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</si>
  <si>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</si>
  <si>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</si>
  <si>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</si>
  <si>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</si>
  <si>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</si>
  <si>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</si>
  <si>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</si>
  <si>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</si>
  <si>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</si>
  <si>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</si>
  <si>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</si>
  <si>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</si>
  <si>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</si>
  <si>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</si>
  <si>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</si>
  <si>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</si>
  <si>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</si>
  <si>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</si>
  <si>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</si>
  <si>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</si>
  <si>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</si>
  <si>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</si>
  <si>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</si>
  <si>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</si>
  <si>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</si>
  <si>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</si>
  <si>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</si>
  <si>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</si>
  <si>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</si>
  <si>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</si>
  <si>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</si>
  <si>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</si>
  <si>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</si>
  <si>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</si>
  <si>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</si>
  <si>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</si>
  <si>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</si>
  <si>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</si>
  <si>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</si>
  <si>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</si>
  <si>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</si>
  <si>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</si>
  <si>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</si>
  <si>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</si>
  <si>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</si>
  <si>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</si>
  <si>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</si>
  <si>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</si>
  <si>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</si>
  <si>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</si>
  <si>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</si>
  <si>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</si>
  <si>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</si>
  <si>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</si>
  <si>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</si>
  <si>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</si>
  <si>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</si>
  <si>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</si>
  <si>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</si>
  <si>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</si>
  <si>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</si>
  <si>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</si>
  <si>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</si>
  <si>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</si>
  <si>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</si>
  <si>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</si>
  <si>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</si>
  <si>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</si>
  <si>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</si>
  <si>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</si>
  <si>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</si>
  <si>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</si>
  <si>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</si>
  <si>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</si>
  <si>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</si>
  <si>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</si>
  <si>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</si>
  <si>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</si>
  <si>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</si>
  <si>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</si>
  <si>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</si>
  <si>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</si>
  <si>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</si>
  <si>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</si>
  <si>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</si>
  <si>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</si>
  <si>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</si>
  <si>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</si>
  <si>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</si>
  <si>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</si>
  <si>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</si>
  <si>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</si>
  <si>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</si>
  <si>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</si>
  <si>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</si>
  <si>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</si>
  <si>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</si>
  <si>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</si>
  <si>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</si>
  <si>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</si>
  <si>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</si>
  <si>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</si>
  <si>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</si>
  <si>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</si>
  <si>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</si>
  <si>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</si>
  <si>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</si>
  <si>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</si>
  <si>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</si>
  <si>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</si>
  <si>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</si>
  <si>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</si>
  <si>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</si>
  <si>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</si>
  <si>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</si>
  <si>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</si>
  <si>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</si>
  <si>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</si>
  <si>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</si>
  <si>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</si>
  <si>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</si>
  <si>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</si>
  <si>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</si>
  <si>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</si>
  <si>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</si>
  <si>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</si>
  <si>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</si>
  <si>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</si>
  <si>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</si>
  <si>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</si>
  <si>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</si>
  <si>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</si>
  <si>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</si>
  <si>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</si>
  <si>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</si>
  <si>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</si>
  <si>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</si>
  <si>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</si>
  <si>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</si>
  <si>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</si>
  <si>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</si>
  <si>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</si>
  <si>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</si>
  <si>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</si>
  <si>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</si>
  <si>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</si>
  <si>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</si>
  <si>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</si>
  <si>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</si>
  <si>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</si>
  <si>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</si>
  <si>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</si>
  <si>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</si>
  <si>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</si>
  <si>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</si>
  <si>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</si>
  <si>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</si>
  <si>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</si>
  <si>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</si>
  <si>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</si>
  <si>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</si>
  <si>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</si>
  <si>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</si>
  <si>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</si>
  <si>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</si>
  <si>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</si>
  <si>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</si>
  <si>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</si>
  <si>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</si>
  <si>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</si>
  <si>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</si>
  <si>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</si>
  <si>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</si>
  <si>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</si>
  <si>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</si>
  <si>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</si>
  <si>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</si>
  <si>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</si>
  <si>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</si>
  <si>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</si>
  <si>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</si>
  <si>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</si>
  <si>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</si>
  <si>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</si>
  <si>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</si>
  <si>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</si>
  <si>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</si>
  <si>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</si>
  <si>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</si>
  <si>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</si>
  <si>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</si>
  <si>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</si>
  <si>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</si>
  <si>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</si>
  <si>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</si>
  <si>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</si>
  <si>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</si>
  <si>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</si>
  <si>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</si>
  <si>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</si>
  <si>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</si>
  <si>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</si>
  <si>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</si>
  <si>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</si>
  <si>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</si>
  <si>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</si>
  <si>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</si>
  <si>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</si>
  <si>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</si>
  <si>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</si>
  <si>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</si>
  <si>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</si>
  <si>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</si>
  <si>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</si>
  <si>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</si>
  <si>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</si>
  <si>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</si>
  <si>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</si>
  <si>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</si>
  <si>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</si>
  <si>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</si>
  <si>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</si>
  <si>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</si>
  <si>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</si>
  <si>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</si>
  <si>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</si>
  <si>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</si>
  <si>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</si>
  <si>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</si>
  <si>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</si>
  <si>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</si>
  <si>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</si>
  <si>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</si>
  <si>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</si>
  <si>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</si>
  <si>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</si>
  <si>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</si>
  <si>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</si>
  <si>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</si>
  <si>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</si>
  <si>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</si>
  <si>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</si>
  <si>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</si>
  <si>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</si>
  <si>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</si>
  <si>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</si>
  <si>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</si>
  <si>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</si>
  <si>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</si>
  <si>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</si>
  <si>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</si>
  <si>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</si>
  <si>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</si>
  <si>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</si>
  <si>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</si>
  <si>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</si>
  <si>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</si>
  <si>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</si>
  <si>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</si>
  <si>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</si>
  <si>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</si>
  <si>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</si>
  <si>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</si>
  <si>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</si>
  <si>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</si>
  <si>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</si>
  <si>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</si>
  <si>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</si>
  <si>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</si>
  <si>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</si>
  <si>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</si>
  <si>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</si>
  <si>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</si>
  <si>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</si>
  <si>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</si>
  <si>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</si>
  <si>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</si>
  <si>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</si>
  <si>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</si>
  <si>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</si>
  <si>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</si>
  <si>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</si>
  <si>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</si>
  <si>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</si>
  <si>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</si>
  <si>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</si>
  <si>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</si>
  <si>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</si>
  <si>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</si>
  <si>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</si>
  <si>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</si>
  <si>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</si>
  <si>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</si>
  <si>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</si>
  <si>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</si>
  <si>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</si>
  <si>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</si>
  <si>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</si>
  <si>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</si>
  <si>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</si>
  <si>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</si>
  <si>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</si>
  <si>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</si>
  <si>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</si>
  <si>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</si>
  <si>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</si>
  <si>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</si>
  <si>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</si>
  <si>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</si>
  <si>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</si>
  <si>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</si>
  <si>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</si>
  <si>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</si>
  <si>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</si>
  <si>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</si>
  <si>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</si>
  <si>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</si>
  <si>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</si>
  <si>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</si>
  <si>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</si>
  <si>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</si>
  <si>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</si>
  <si>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</si>
  <si>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</si>
  <si>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</si>
  <si>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</si>
  <si>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</si>
  <si>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</si>
  <si>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</si>
  <si>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</si>
  <si>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</si>
  <si>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</si>
  <si>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</si>
  <si>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</si>
  <si>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</si>
  <si>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</si>
  <si>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</si>
  <si>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</si>
  <si>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</si>
  <si>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</si>
  <si>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</si>
  <si>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</si>
  <si>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</si>
  <si>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</si>
  <si>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</si>
  <si>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</si>
  <si>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</si>
  <si>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</si>
  <si>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</si>
  <si>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</si>
  <si>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</si>
  <si>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</si>
  <si>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</si>
  <si>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</si>
  <si>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</si>
  <si>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</si>
  <si>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</si>
  <si>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</si>
  <si>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</si>
  <si>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</si>
  <si>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</si>
  <si>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</si>
  <si>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</si>
  <si>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</si>
  <si>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</si>
  <si>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</si>
  <si>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</si>
  <si>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</si>
  <si>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</si>
  <si>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</si>
  <si>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</si>
  <si>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</si>
  <si>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</si>
  <si>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</si>
  <si>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</si>
  <si>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</si>
  <si>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</si>
  <si>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</si>
  <si>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</si>
  <si>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</si>
  <si>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</si>
  <si>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</si>
  <si>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</si>
  <si>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</si>
  <si>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</si>
  <si>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</si>
  <si>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</si>
  <si>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</si>
  <si>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</si>
  <si>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</si>
  <si>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</si>
  <si>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</si>
  <si>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</si>
  <si>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</si>
  <si>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</si>
  <si>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</si>
  <si>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</si>
  <si>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</si>
  <si>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</si>
  <si>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</si>
  <si>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</si>
  <si>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</si>
  <si>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</si>
  <si>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</si>
  <si>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</si>
  <si>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</si>
  <si>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</si>
  <si>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</si>
  <si>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</si>
  <si>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</si>
  <si>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</si>
  <si>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</si>
  <si>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</si>
  <si>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</si>
  <si>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</si>
  <si>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</si>
  <si>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</si>
  <si>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</si>
  <si>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</si>
  <si>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</si>
  <si>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</si>
  <si>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</si>
  <si>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</si>
  <si>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</si>
  <si>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</si>
  <si>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</si>
  <si>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</si>
  <si>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</si>
  <si>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</si>
  <si>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</si>
  <si>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</si>
  <si>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</si>
  <si>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</si>
  <si>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</si>
  <si>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</si>
  <si>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</si>
  <si>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</si>
  <si>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</si>
  <si>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</si>
  <si>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</si>
  <si>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</si>
  <si>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</si>
  <si>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</si>
  <si>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</si>
  <si>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</si>
  <si>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</si>
  <si>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</si>
  <si>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</si>
  <si>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</si>
  <si>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</si>
  <si>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</si>
  <si>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</si>
  <si>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</si>
  <si>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</si>
  <si>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</si>
  <si>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</si>
  <si>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</si>
  <si>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</si>
  <si>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</si>
  <si>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</si>
  <si>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</si>
  <si>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</si>
  <si>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</si>
  <si>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</si>
  <si>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</si>
  <si>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</si>
  <si>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</si>
  <si>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</si>
  <si>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</si>
  <si>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</si>
  <si>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</si>
  <si>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</si>
  <si>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</si>
  <si>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</si>
  <si>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</si>
  <si>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</si>
  <si>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</si>
  <si>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</si>
  <si>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</si>
  <si>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</si>
  <si>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</si>
  <si>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</si>
  <si>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</si>
  <si>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</si>
  <si>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</si>
  <si>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</si>
  <si>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</si>
  <si>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</si>
  <si>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</si>
  <si>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</si>
  <si>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</si>
  <si>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</si>
  <si>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</si>
  <si>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</si>
  <si>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</si>
  <si>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</si>
  <si>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</si>
  <si>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</si>
  <si>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</si>
  <si>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</si>
  <si>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</si>
  <si>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</si>
  <si>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</si>
  <si>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</si>
  <si>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</si>
  <si>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</si>
  <si>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</si>
  <si>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</si>
  <si>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</si>
  <si>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</si>
  <si>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</si>
  <si>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</si>
  <si>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</si>
  <si>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</si>
  <si>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</si>
  <si>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</si>
  <si>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</si>
  <si>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</si>
  <si>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</si>
  <si>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</si>
  <si>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</si>
  <si>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</si>
  <si>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</si>
  <si>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</si>
  <si>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</si>
  <si>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</si>
  <si>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</si>
  <si>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</si>
  <si>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</si>
  <si>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</si>
  <si>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</si>
  <si>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</si>
  <si>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</si>
  <si>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</si>
  <si>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</si>
  <si>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</si>
  <si>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</si>
  <si>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</si>
  <si>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</si>
  <si>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</si>
  <si>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</si>
  <si>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</si>
  <si>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</si>
  <si>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</si>
  <si>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</si>
  <si>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</si>
  <si>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</si>
  <si>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</si>
  <si>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</si>
  <si>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</si>
  <si>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</si>
  <si>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</si>
  <si>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</si>
  <si>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</si>
  <si>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</si>
  <si>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</si>
  <si>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</si>
  <si>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</si>
  <si>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</si>
  <si>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</si>
  <si>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</si>
  <si>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</si>
  <si>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</si>
  <si>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</si>
  <si>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</si>
  <si>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</si>
  <si>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</si>
  <si>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</si>
  <si>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</si>
  <si>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</si>
  <si>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</si>
  <si>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</si>
  <si>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</si>
  <si>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</si>
  <si>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</si>
  <si>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</si>
  <si>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</si>
  <si>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</si>
  <si>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</si>
  <si>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</si>
  <si>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</si>
  <si>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</si>
  <si>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</si>
  <si>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</si>
  <si>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</si>
  <si>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</si>
  <si>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</si>
  <si>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</si>
  <si>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</si>
  <si>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</si>
  <si>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</si>
  <si>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</si>
  <si>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</si>
  <si>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</si>
  <si>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</si>
  <si>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</si>
  <si>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</si>
  <si>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</si>
  <si>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</si>
  <si>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</si>
  <si>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</si>
  <si>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</si>
  <si>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</si>
  <si>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</si>
  <si>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</si>
  <si>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</si>
  <si>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</si>
  <si>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</si>
  <si>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</si>
  <si>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</si>
  <si>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</si>
  <si>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</si>
  <si>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</si>
  <si>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</si>
  <si>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</si>
  <si>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</si>
  <si>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</si>
  <si>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</si>
  <si>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</si>
  <si>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</si>
  <si>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</si>
  <si>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</si>
  <si>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</si>
  <si>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</si>
  <si>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</si>
  <si>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</si>
  <si>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</si>
  <si>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</si>
  <si>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</si>
  <si>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</si>
  <si>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</si>
  <si>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</si>
  <si>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</si>
  <si>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</si>
  <si>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</si>
  <si>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</si>
  <si>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</si>
  <si>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</si>
  <si>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</si>
  <si>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</si>
  <si>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</si>
  <si>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</si>
  <si>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</si>
  <si>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</si>
  <si>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</si>
  <si>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</si>
  <si>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</si>
  <si>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</si>
  <si>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</si>
  <si>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</si>
  <si>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</si>
  <si>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</si>
  <si>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</si>
  <si>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</si>
  <si>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</si>
  <si>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</si>
  <si>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</si>
  <si>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</si>
  <si>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</si>
  <si>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</si>
  <si>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</si>
  <si>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</si>
  <si>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</si>
  <si>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</si>
  <si>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</si>
  <si>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</si>
  <si>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</si>
  <si>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</si>
  <si>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</si>
  <si>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</si>
  <si>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</si>
  <si>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</si>
  <si>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</si>
  <si>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</si>
  <si>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</si>
  <si>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</si>
  <si>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</si>
  <si>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</si>
  <si>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</si>
  <si>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</si>
  <si>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</si>
  <si>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</si>
  <si>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</si>
  <si>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</si>
  <si>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</si>
  <si>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</si>
  <si>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</si>
  <si>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</si>
  <si>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</si>
  <si>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</si>
  <si>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</si>
  <si>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</si>
  <si>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</si>
  <si>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</si>
  <si>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</si>
  <si>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</si>
  <si>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</si>
  <si>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</si>
  <si>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</si>
  <si>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</si>
  <si>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</si>
  <si>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</si>
  <si>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</si>
  <si>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</si>
  <si>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</si>
  <si>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</si>
  <si>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</si>
  <si>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</si>
  <si>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</si>
  <si>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</si>
  <si>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</si>
  <si>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</si>
  <si>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</si>
  <si>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</si>
  <si>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</si>
  <si>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</si>
  <si>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</si>
  <si>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</si>
  <si>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</si>
  <si>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</si>
  <si>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</si>
  <si>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</si>
  <si>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</si>
  <si>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</si>
  <si>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</si>
  <si>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</si>
  <si>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</si>
  <si>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</si>
  <si>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</si>
  <si>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</si>
  <si>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</si>
  <si>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</si>
  <si>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</si>
  <si>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</si>
  <si>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</si>
  <si>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</si>
  <si>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</si>
  <si>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</si>
  <si>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</si>
  <si>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</si>
  <si>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</si>
  <si>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</si>
  <si>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</si>
  <si>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</si>
  <si>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</si>
  <si>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</si>
  <si>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</si>
  <si>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</si>
  <si>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</si>
  <si>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</si>
  <si>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</si>
  <si>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</si>
  <si>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</si>
  <si>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</si>
  <si>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</si>
  <si>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</si>
  <si>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</si>
  <si>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</si>
  <si>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</si>
  <si>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</si>
  <si>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</si>
  <si>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</si>
  <si>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</si>
  <si>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</si>
  <si>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</si>
  <si>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</si>
  <si>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</si>
  <si>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</si>
  <si>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</si>
  <si>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</si>
  <si>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</si>
  <si>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</si>
  <si>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</si>
  <si>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</si>
  <si>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</si>
  <si>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</si>
  <si>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</si>
  <si>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</si>
  <si>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</si>
  <si>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</si>
  <si>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</si>
  <si>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</si>
  <si>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</si>
  <si>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</si>
  <si>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</si>
  <si>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</si>
  <si>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</si>
  <si>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</si>
  <si>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</si>
  <si>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</si>
  <si>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</si>
  <si>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</si>
  <si>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</si>
  <si>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</si>
  <si>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</si>
  <si>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</si>
  <si>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</si>
  <si>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</si>
  <si>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</si>
  <si>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</si>
  <si>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</si>
  <si>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</si>
  <si>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</si>
  <si>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</si>
  <si>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</si>
  <si>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</si>
  <si>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</si>
  <si>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</si>
  <si>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</si>
  <si>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</si>
  <si>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</si>
  <si>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</si>
  <si>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</si>
  <si>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</si>
  <si>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</si>
  <si>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</si>
  <si>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</si>
  <si>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</si>
  <si>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</si>
  <si>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</si>
  <si>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</si>
  <si>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</si>
  <si>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</si>
  <si>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</si>
  <si>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</si>
  <si>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</si>
  <si>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</si>
  <si>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</si>
  <si>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</si>
  <si>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</si>
  <si>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</si>
  <si>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</si>
  <si>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</si>
  <si>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</si>
  <si>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</si>
  <si>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</si>
  <si>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</si>
  <si>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</si>
  <si>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</si>
  <si>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</si>
  <si>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</si>
  <si>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</si>
  <si>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</si>
  <si>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</si>
  <si>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</si>
  <si>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</si>
  <si>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</si>
  <si>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</si>
  <si>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</si>
  <si>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</si>
  <si>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</si>
  <si>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</si>
  <si>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</si>
  <si>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</si>
  <si>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</si>
  <si>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</si>
  <si>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</si>
  <si>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</si>
  <si>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</si>
  <si>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</si>
  <si>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</si>
  <si>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</si>
  <si>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</si>
  <si>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</si>
  <si>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</si>
  <si>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</si>
  <si>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</si>
  <si>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</si>
  <si>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</si>
  <si>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</si>
  <si>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</si>
  <si>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</si>
  <si>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</si>
  <si>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</si>
  <si>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</si>
  <si>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</si>
  <si>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</si>
  <si>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</si>
  <si>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</si>
  <si>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</si>
  <si>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</si>
  <si>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</si>
  <si>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</si>
  <si>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</si>
  <si>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</si>
  <si>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</si>
  <si>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</si>
  <si>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</si>
  <si>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</si>
  <si>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</si>
  <si>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</si>
  <si>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</si>
  <si>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</si>
  <si>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</si>
  <si>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</si>
  <si>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</si>
  <si>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</si>
  <si>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</si>
  <si>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</si>
  <si>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</si>
  <si>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</si>
  <si>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</si>
  <si>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</si>
  <si>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</si>
  <si>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</si>
  <si>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</si>
  <si>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</si>
  <si>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</si>
  <si>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</si>
  <si>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</si>
  <si>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</si>
  <si>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</si>
  <si>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</si>
  <si>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</si>
  <si>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</si>
  <si>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</si>
  <si>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</si>
  <si>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</si>
  <si>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</si>
  <si>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</si>
  <si>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</si>
  <si>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</si>
  <si>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</si>
  <si>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</si>
  <si>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</si>
  <si>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</si>
  <si>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</si>
  <si>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</si>
  <si>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</si>
  <si>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</si>
  <si>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</si>
  <si>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</si>
  <si>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</si>
  <si>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</si>
  <si>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</si>
  <si>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</si>
  <si>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</si>
  <si>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</si>
  <si>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</si>
  <si>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</si>
  <si>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</si>
  <si>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</si>
  <si>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</si>
  <si>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</si>
  <si>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</si>
  <si>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企业</t>
  </si>
  <si>
    <t>与房产证证载一致</t>
  </si>
  <si>
    <t>万元</t>
  </si>
  <si>
    <t>总价</t>
  </si>
  <si>
    <t>办公</t>
  </si>
  <si>
    <r>
      <t>B</t>
    </r>
    <r>
      <rPr>
        <sz val="11"/>
        <color theme="1"/>
        <rFont val="宋体"/>
        <family val="3"/>
        <charset val="134"/>
        <scheme val="minor"/>
      </rPr>
      <t>1102</t>
    </r>
    <phoneticPr fontId="146" type="noConversion"/>
  </si>
  <si>
    <r>
      <t>B</t>
    </r>
    <r>
      <rPr>
        <sz val="11"/>
        <color theme="1"/>
        <rFont val="宋体"/>
        <family val="3"/>
        <charset val="134"/>
        <scheme val="minor"/>
      </rPr>
      <t>1101A</t>
    </r>
    <phoneticPr fontId="146" type="noConversion"/>
  </si>
  <si>
    <t>房号</t>
    <phoneticPr fontId="146" type="noConversion"/>
  </si>
  <si>
    <t>建筑面积</t>
    <phoneticPr fontId="146" type="noConversion"/>
  </si>
  <si>
    <t>分摊土地面积</t>
    <phoneticPr fontId="146" type="noConversion"/>
  </si>
  <si>
    <t>容积率</t>
    <phoneticPr fontId="146" type="noConversion"/>
  </si>
  <si>
    <t>无租约</t>
  </si>
  <si>
    <t>是</t>
  </si>
  <si>
    <t>利息：取LPR加浮动点数</t>
  </si>
  <si>
    <t>钢混</t>
  </si>
  <si>
    <t>非生产用房</t>
  </si>
  <si>
    <t>科技财富中心</t>
    <phoneticPr fontId="146" type="noConversion"/>
  </si>
  <si>
    <t>面积</t>
    <phoneticPr fontId="146" type="noConversion"/>
  </si>
  <si>
    <t>楼层</t>
    <phoneticPr fontId="146" type="noConversion"/>
  </si>
  <si>
    <t>单价</t>
    <phoneticPr fontId="146" type="noConversion"/>
  </si>
  <si>
    <t>中区</t>
    <phoneticPr fontId="146" type="noConversion"/>
  </si>
  <si>
    <t>高区</t>
    <phoneticPr fontId="146" type="noConversion"/>
  </si>
  <si>
    <t>正常</t>
    <phoneticPr fontId="26" type="noConversion"/>
  </si>
  <si>
    <t>中区</t>
    <phoneticPr fontId="26" type="noConversion"/>
  </si>
  <si>
    <t>高区</t>
    <phoneticPr fontId="26" type="noConversion"/>
  </si>
  <si>
    <t>低区</t>
    <phoneticPr fontId="26" type="noConversion"/>
  </si>
  <si>
    <t>比较法-办公</t>
  </si>
  <si>
    <t>收益法</t>
  </si>
  <si>
    <t>低区</t>
    <phoneticPr fontId="146" type="noConversion"/>
  </si>
  <si>
    <t>金码大厦</t>
    <phoneticPr fontId="146" type="noConversion"/>
  </si>
  <si>
    <t>一般</t>
    <phoneticPr fontId="26" type="noConversion"/>
  </si>
  <si>
    <t>较好</t>
    <phoneticPr fontId="26" type="noConversion"/>
  </si>
  <si>
    <t>一般</t>
    <phoneticPr fontId="26" type="noConversion"/>
  </si>
  <si>
    <t>估价对象1（结果表）</t>
  </si>
  <si>
    <t>否</t>
  </si>
  <si>
    <t>高区</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</si>
</sst>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58" fontId="0" fillId="0" borderId="0" xfId="0" applyNumberFormat="1">
      <alignment vertical="center"/>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0" fillId="0" borderId="0" xfId="0" applyFill="1">
      <alignment vertical="center"/>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14</xdr:col>
      <xdr:colOff>227372</xdr:colOff>
      <xdr:row>95</xdr:row>
      <xdr:rowOff>37089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229600"/>
          <a:ext cx="9828572" cy="8095239"/>
        </a:xfrm>
        <a:prstGeom prst="rect">
          <a:avLst/>
        </a:prstGeom>
      </xdr:spPr>
    </xdr:pic>
    <xdr:clientData/>
  </xdr:twoCellAnchor>
  <xdr:twoCellAnchor editAs="oneCell">
    <xdr:from>
      <xdr:col>0</xdr:col>
      <xdr:colOff>0</xdr:colOff>
      <xdr:row>95</xdr:row>
      <xdr:rowOff>0</xdr:rowOff>
    </xdr:from>
    <xdr:to>
      <xdr:col>13</xdr:col>
      <xdr:colOff>570315</xdr:colOff>
      <xdr:row>141</xdr:row>
      <xdr:rowOff>160920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6287750"/>
          <a:ext cx="9485715" cy="8047620"/>
        </a:xfrm>
        <a:prstGeom prst="rect">
          <a:avLst/>
        </a:prstGeom>
      </xdr:spPr>
    </xdr:pic>
    <xdr:clientData/>
  </xdr:twoCellAnchor>
  <xdr:twoCellAnchor editAs="oneCell">
    <xdr:from>
      <xdr:col>0</xdr:col>
      <xdr:colOff>0</xdr:colOff>
      <xdr:row>0</xdr:row>
      <xdr:rowOff>0</xdr:rowOff>
    </xdr:from>
    <xdr:to>
      <xdr:col>13</xdr:col>
      <xdr:colOff>646505</xdr:colOff>
      <xdr:row>47</xdr:row>
      <xdr:rowOff>75184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0"/>
          <a:ext cx="9561905" cy="8133334"/>
        </a:xfrm>
        <a:prstGeom prst="rect">
          <a:avLst/>
        </a:prstGeom>
      </xdr:spPr>
    </xdr:pic>
    <xdr:clientData/>
  </xdr:twoCellAnchor>
  <xdr:twoCellAnchor editAs="oneCell">
    <xdr:from>
      <xdr:col>0</xdr:col>
      <xdr:colOff>0</xdr:colOff>
      <xdr:row>151</xdr:row>
      <xdr:rowOff>0</xdr:rowOff>
    </xdr:from>
    <xdr:to>
      <xdr:col>13</xdr:col>
      <xdr:colOff>646505</xdr:colOff>
      <xdr:row>197</xdr:row>
      <xdr:rowOff>122824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5888950"/>
          <a:ext cx="9561905" cy="8009524"/>
        </a:xfrm>
        <a:prstGeom prst="rect">
          <a:avLst/>
        </a:prstGeom>
      </xdr:spPr>
    </xdr:pic>
    <xdr:clientData/>
  </xdr:twoCellAnchor>
  <xdr:twoCellAnchor editAs="oneCell">
    <xdr:from>
      <xdr:col>0</xdr:col>
      <xdr:colOff>0</xdr:colOff>
      <xdr:row>198</xdr:row>
      <xdr:rowOff>0</xdr:rowOff>
    </xdr:from>
    <xdr:to>
      <xdr:col>13</xdr:col>
      <xdr:colOff>589363</xdr:colOff>
      <xdr:row>245</xdr:row>
      <xdr:rowOff>84708</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3947100"/>
          <a:ext cx="9504763" cy="8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估价对象为北京市房地产，为XX所有。根据《》[]，估价对象建筑面积为176.29平方米。根据《》[]，估价对象（分摊）出让国有建设用地使用权面积为43.2平方米。估价对象用途为。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2022年4月25日</v>
      </c>
    </row>
    <row r="10" spans="1:2">
      <c r="A10" s="1139" t="s">
        <v>865</v>
      </c>
      <c r="B10" s="1126" t="str">
        <f>'预评函-1'!A13</f>
        <v>本次估价的“房地产价值”是指在正常市场情况下，在价值时点2022年4月25日，估价对象规划用途为，假定未设立法定优先受偿款下的房地产市场价值。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176.29</v>
      </c>
    </row>
    <row r="19" spans="1:2">
      <c r="A19" s="1139" t="s">
        <v>874</v>
      </c>
      <c r="B19" s="1126">
        <f ca="1">'预评函-2（1）'!D7</f>
        <v>572</v>
      </c>
    </row>
    <row r="20" spans="1:2">
      <c r="A20" s="1139" t="s">
        <v>912</v>
      </c>
      <c r="B20" s="1126" t="str">
        <f>'预评函-2（1）'!C7</f>
        <v>总价（万元）</v>
      </c>
    </row>
    <row r="21" spans="1:2">
      <c r="A21" s="1139" t="s">
        <v>875</v>
      </c>
      <c r="B21" s="1126">
        <f ca="1">'预评函-2（1）'!D9</f>
        <v>32447</v>
      </c>
    </row>
    <row r="22" spans="1:2">
      <c r="A22" s="1139" t="s">
        <v>876</v>
      </c>
      <c r="B22" s="1126" t="str">
        <f ca="1">'预评函-2（1）'!D8</f>
        <v>伍佰柒拾贰万元整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572</v>
      </c>
    </row>
    <row r="30" spans="1:2">
      <c r="A30" s="1139" t="s">
        <v>882</v>
      </c>
      <c r="B30" s="1126" t="str">
        <f ca="1">'预评函-2（1）'!D16</f>
        <v>伍佰柒拾贰万元整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43.2</v>
      </c>
    </row>
    <row r="37" spans="1:2">
      <c r="A37" s="1139" t="s">
        <v>889</v>
      </c>
      <c r="B37" s="1126">
        <f ca="1">'预评函-2（2）'!D4</f>
        <v>495</v>
      </c>
    </row>
    <row r="38" spans="1:2">
      <c r="A38" s="1139" t="s">
        <v>890</v>
      </c>
      <c r="B38" s="1126">
        <f ca="1">'预评函-2（2）'!E4</f>
        <v>28079</v>
      </c>
    </row>
    <row r="39" spans="1:2">
      <c r="A39" s="1139" t="s">
        <v>891</v>
      </c>
      <c r="B39" s="1126" t="str">
        <f ca="1">'预评函-2（2）'!D5</f>
        <v>肆佰玖拾伍万元整</v>
      </c>
    </row>
    <row r="40" spans="1:2">
      <c r="A40" s="1139" t="s">
        <v>892</v>
      </c>
      <c r="B40" s="1126">
        <f ca="1">'预评函-2（2）'!F4</f>
        <v>77</v>
      </c>
    </row>
    <row r="41" spans="1:2">
      <c r="A41" s="1139" t="s">
        <v>893</v>
      </c>
      <c r="B41" s="1126">
        <f ca="1">'预评函-2（2）'!G4</f>
        <v>4368</v>
      </c>
    </row>
    <row r="42" spans="1:2" s="1136" customFormat="1" ht="15.75" thickBot="1">
      <c r="A42" s="1140" t="s">
        <v>894</v>
      </c>
      <c r="B42" s="1128" t="str">
        <f ca="1">'预评函-2（2）'!F5</f>
        <v>柒拾柒万元整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32447</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5" sqref="K3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44676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t="s">
        <v>3029</v>
      </c>
      <c r="E4" s="782"/>
      <c r="F4" s="782"/>
      <c r="G4" s="1121"/>
    </row>
    <row r="5" spans="1:17">
      <c r="A5" s="1358" t="s">
        <v>1295</v>
      </c>
      <c r="B5" s="1359" t="s">
        <v>2479</v>
      </c>
      <c r="C5" s="2811" t="s">
        <v>1296</v>
      </c>
      <c r="D5" s="1361" t="s">
        <v>3030</v>
      </c>
      <c r="E5" s="2812" t="s">
        <v>1297</v>
      </c>
      <c r="F5" s="1361" t="s">
        <v>3030</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2479</v>
      </c>
      <c r="E7" s="783"/>
      <c r="F7" s="783"/>
      <c r="G7" s="1122"/>
    </row>
    <row r="8" spans="1:17" ht="13.5" thickTop="1">
      <c r="A8" s="3395" t="s">
        <v>1301</v>
      </c>
      <c r="B8" s="1367" t="s">
        <v>1302</v>
      </c>
      <c r="C8" s="3407"/>
      <c r="D8" s="3408"/>
      <c r="E8" s="2519" t="s">
        <v>1303</v>
      </c>
      <c r="F8" s="2520" t="s">
        <v>1304</v>
      </c>
      <c r="G8" s="2521" t="str">
        <f>C6</f>
        <v>XX</v>
      </c>
    </row>
    <row r="9" spans="1:17" ht="25.5">
      <c r="A9" s="3395"/>
      <c r="B9" s="259" t="s">
        <v>1305</v>
      </c>
      <c r="C9" s="1359"/>
      <c r="D9" s="1368" t="s">
        <v>3033</v>
      </c>
      <c r="E9" s="2815" t="s">
        <v>1306</v>
      </c>
      <c r="F9" s="2522"/>
      <c r="G9" s="2523"/>
    </row>
    <row r="10" spans="1:17" ht="13.5" thickBot="1">
      <c r="A10" s="3395"/>
      <c r="B10" s="259" t="s">
        <v>1307</v>
      </c>
      <c r="C10" s="3409"/>
      <c r="D10" s="3410"/>
      <c r="E10" s="2816" t="s">
        <v>1308</v>
      </c>
      <c r="F10" s="2524"/>
      <c r="G10" s="2525"/>
    </row>
    <row r="11" spans="1:17" ht="13.5" thickBot="1">
      <c r="A11" s="3395"/>
      <c r="B11" s="1370" t="s">
        <v>1309</v>
      </c>
      <c r="C11" s="3411"/>
      <c r="D11" s="3412"/>
      <c r="E11" s="769"/>
      <c r="F11" s="769"/>
      <c r="G11" s="788"/>
    </row>
    <row r="12" spans="1:17" ht="13.5" thickBot="1">
      <c r="A12" s="3398" t="s">
        <v>2586</v>
      </c>
      <c r="B12" s="2817" t="s">
        <v>1310</v>
      </c>
      <c r="C12" s="766">
        <f>Sheet1!C4</f>
        <v>176.29</v>
      </c>
      <c r="D12" s="1371" t="s">
        <v>1311</v>
      </c>
      <c r="E12" s="1372"/>
      <c r="F12" s="1373"/>
      <c r="G12" s="788"/>
    </row>
    <row r="13" spans="1:17" ht="21" customHeight="1" thickBot="1">
      <c r="A13" s="3399"/>
      <c r="B13" s="2818" t="s">
        <v>1312</v>
      </c>
      <c r="C13" s="767">
        <f>Sheet1!D4</f>
        <v>43.2</v>
      </c>
      <c r="D13" s="1374" t="s">
        <v>1313</v>
      </c>
      <c r="E13" s="1375"/>
      <c r="F13" s="769"/>
      <c r="G13" s="788"/>
      <c r="I13" s="3384"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4"/>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f>Sheet1!E4</f>
        <v>4.08</v>
      </c>
      <c r="D15" s="783"/>
      <c r="E15" s="783"/>
      <c r="F15" s="783"/>
      <c r="G15" s="1122"/>
      <c r="I15" s="3384"/>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3" t="s">
        <v>1320</v>
      </c>
      <c r="C17" s="3414"/>
      <c r="D17" s="3415" t="s">
        <v>1321</v>
      </c>
      <c r="E17" s="3416"/>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4" t="s">
        <v>2585</v>
      </c>
      <c r="B24" s="3394"/>
      <c r="C24" s="3394"/>
      <c r="D24" s="3394"/>
      <c r="E24" s="3394"/>
      <c r="F24" s="3394"/>
      <c r="G24" s="3394"/>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1" t="s">
        <v>1334</v>
      </c>
      <c r="D28" s="3402"/>
      <c r="E28" s="759"/>
      <c r="F28" s="761" t="s">
        <v>1334</v>
      </c>
      <c r="G28" s="759"/>
      <c r="K28" s="2822"/>
    </row>
    <row r="29" spans="1:66">
      <c r="A29" s="762" t="s">
        <v>1335</v>
      </c>
      <c r="B29" s="756"/>
      <c r="C29" s="3403" t="s">
        <v>1336</v>
      </c>
      <c r="D29" s="3404"/>
      <c r="E29" s="756"/>
      <c r="F29" s="762" t="s">
        <v>1336</v>
      </c>
      <c r="G29" s="756"/>
      <c r="K29" s="2822"/>
    </row>
    <row r="30" spans="1:66">
      <c r="A30" s="762" t="s">
        <v>1337</v>
      </c>
      <c r="B30" s="756"/>
      <c r="C30" s="3403" t="s">
        <v>1337</v>
      </c>
      <c r="D30" s="3404"/>
      <c r="E30" s="756"/>
      <c r="F30" s="762" t="s">
        <v>1338</v>
      </c>
      <c r="G30" s="756"/>
      <c r="K30" s="2822"/>
    </row>
    <row r="31" spans="1:66">
      <c r="A31" s="762" t="s">
        <v>1339</v>
      </c>
      <c r="B31" s="756"/>
      <c r="C31" s="3391" t="s">
        <v>1340</v>
      </c>
      <c r="D31" s="769"/>
      <c r="E31" s="2545" t="str">
        <f>E32&amp;" "&amp;E33&amp;" "&amp;E34&amp;" "&amp;E35</f>
        <v xml:space="preserve">   </v>
      </c>
      <c r="F31" s="762" t="s">
        <v>1341</v>
      </c>
      <c r="G31" s="756"/>
    </row>
    <row r="32" spans="1:66">
      <c r="A32" s="762" t="s">
        <v>1342</v>
      </c>
      <c r="B32" s="756"/>
      <c r="C32" s="3392"/>
      <c r="D32" s="259" t="s">
        <v>1343</v>
      </c>
      <c r="E32" s="756"/>
      <c r="F32" s="762" t="s">
        <v>1344</v>
      </c>
      <c r="G32" s="756"/>
    </row>
    <row r="33" spans="1:7" ht="24.75" thickBot="1">
      <c r="A33" s="763" t="s">
        <v>1345</v>
      </c>
      <c r="B33" s="760"/>
      <c r="C33" s="3392"/>
      <c r="D33" s="259" t="s">
        <v>1346</v>
      </c>
      <c r="E33" s="756"/>
      <c r="F33" s="762" t="s">
        <v>1347</v>
      </c>
      <c r="G33" s="756"/>
    </row>
    <row r="34" spans="1:7">
      <c r="A34" s="761" t="s">
        <v>1348</v>
      </c>
      <c r="B34" s="759"/>
      <c r="C34" s="3392"/>
      <c r="D34" s="259" t="s">
        <v>1349</v>
      </c>
      <c r="E34" s="756"/>
      <c r="F34" s="762" t="s">
        <v>1350</v>
      </c>
      <c r="G34" s="756"/>
    </row>
    <row r="35" spans="1:7" ht="13.5" thickBot="1">
      <c r="A35" s="762" t="s">
        <v>1351</v>
      </c>
      <c r="B35" s="756"/>
      <c r="C35" s="3393"/>
      <c r="D35" s="259" t="s">
        <v>1352</v>
      </c>
      <c r="E35" s="756"/>
      <c r="F35" s="763" t="s">
        <v>1353</v>
      </c>
      <c r="G35" s="2546"/>
    </row>
    <row r="36" spans="1:7">
      <c r="A36" s="762" t="s">
        <v>1310</v>
      </c>
      <c r="B36" s="756"/>
      <c r="C36" s="3403" t="s">
        <v>1354</v>
      </c>
      <c r="D36" s="3404"/>
      <c r="E36" s="756"/>
      <c r="F36" s="2547" t="s">
        <v>1355</v>
      </c>
      <c r="G36" s="759"/>
    </row>
    <row r="37" spans="1:7" ht="13.5" thickBot="1">
      <c r="A37" s="762" t="s">
        <v>1356</v>
      </c>
      <c r="B37" s="756"/>
      <c r="C37" s="3405" t="s">
        <v>1357</v>
      </c>
      <c r="D37" s="3406"/>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6"/>
      <c r="D39" s="259" t="s">
        <v>1351</v>
      </c>
      <c r="E39" s="756"/>
      <c r="F39" s="761" t="s">
        <v>1363</v>
      </c>
      <c r="G39" s="759"/>
    </row>
    <row r="40" spans="1:7">
      <c r="A40" s="762" t="s">
        <v>1364</v>
      </c>
      <c r="B40" s="756"/>
      <c r="C40" s="3396" t="s">
        <v>1365</v>
      </c>
      <c r="D40" s="259" t="s">
        <v>1310</v>
      </c>
      <c r="E40" s="756"/>
      <c r="F40" s="762" t="s">
        <v>1366</v>
      </c>
      <c r="G40" s="756"/>
    </row>
    <row r="41" spans="1:7" ht="24.75" customHeight="1" thickBot="1">
      <c r="A41" s="763" t="s">
        <v>1367</v>
      </c>
      <c r="B41" s="760"/>
      <c r="C41" s="3397"/>
      <c r="D41" s="1374" t="s">
        <v>1312</v>
      </c>
      <c r="E41" s="760"/>
      <c r="F41" s="763" t="s">
        <v>1368</v>
      </c>
      <c r="G41" s="760"/>
    </row>
    <row r="42" spans="1:7">
      <c r="A42" s="764" t="s">
        <v>1369</v>
      </c>
      <c r="B42" s="2548"/>
      <c r="C42" s="3385" t="s">
        <v>1369</v>
      </c>
      <c r="D42" s="3386"/>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7" t="s">
        <v>1372</v>
      </c>
      <c r="D49" s="3388"/>
      <c r="E49" s="778"/>
      <c r="F49" s="763" t="s">
        <v>1373</v>
      </c>
      <c r="G49" s="760"/>
    </row>
    <row r="50" spans="1:66">
      <c r="A50" s="762" t="s">
        <v>1374</v>
      </c>
      <c r="B50" s="777"/>
      <c r="C50" s="3389" t="s">
        <v>1375</v>
      </c>
      <c r="D50" s="3390"/>
      <c r="E50" s="2550"/>
      <c r="F50" s="795"/>
      <c r="G50" s="796"/>
    </row>
    <row r="51" spans="1:66" ht="13.5" thickBot="1">
      <c r="A51" s="762" t="s">
        <v>1376</v>
      </c>
      <c r="B51" s="777"/>
      <c r="C51" s="3397" t="s">
        <v>1377</v>
      </c>
      <c r="D51" s="3400"/>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7" t="s">
        <v>0</v>
      </c>
      <c r="B1" s="3417" t="s">
        <v>2</v>
      </c>
      <c r="C1" s="3417" t="s">
        <v>3</v>
      </c>
      <c r="D1" s="3418" t="s">
        <v>67</v>
      </c>
      <c r="E1" s="3418" t="s">
        <v>68</v>
      </c>
      <c r="F1" s="3418"/>
      <c r="G1" s="3418"/>
      <c r="H1" s="3418"/>
      <c r="I1" s="3418"/>
      <c r="J1" s="3418"/>
      <c r="K1" s="3418"/>
      <c r="L1" s="3418"/>
      <c r="M1" s="3418"/>
    </row>
    <row r="2" spans="1:13" ht="27" customHeight="1">
      <c r="A2" s="3417"/>
      <c r="B2" s="3417"/>
      <c r="C2" s="3417"/>
      <c r="D2" s="3418"/>
      <c r="E2" s="3418" t="s">
        <v>51</v>
      </c>
      <c r="F2" s="3418" t="s">
        <v>52</v>
      </c>
      <c r="G2" s="3418"/>
      <c r="H2" s="3418"/>
      <c r="I2" s="3418"/>
      <c r="J2" s="3418" t="s">
        <v>53</v>
      </c>
      <c r="K2" s="3418"/>
      <c r="L2" s="3418"/>
      <c r="M2" s="3418"/>
    </row>
    <row r="3" spans="1:13" ht="28.5">
      <c r="A3" s="3417"/>
      <c r="B3" s="3417"/>
      <c r="C3" s="3417"/>
      <c r="D3" s="3418"/>
      <c r="E3" s="34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8" t="s">
        <v>69</v>
      </c>
      <c r="B9" s="3418"/>
      <c r="C9" s="34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L52" sqref="L52"/>
      <selection pane="topRight" activeCell="L52" sqref="L52"/>
      <selection pane="bottomLeft" activeCell="L52" sqref="L52"/>
      <selection pane="bottomRight" activeCell="E17" sqref="E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44676</v>
      </c>
      <c r="C2" s="1613"/>
      <c r="D2" s="3419"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20"/>
      <c r="E3" s="2557" t="s">
        <v>3066</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20"/>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176.29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43.2</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55627</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30</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0.84199999999999997</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705160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ROUND((H20+H21)/2,2)</f>
        <v>0.74</v>
      </c>
      <c r="F20" s="905"/>
      <c r="G20" s="1613"/>
      <c r="H20" s="1613">
        <f>ROUND(1-(2022-B27)/60,2)</f>
        <v>0.68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v>0.8</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2003</v>
      </c>
      <c r="C27" s="1613"/>
      <c r="D27" s="3074" t="s">
        <v>3045</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3043</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30</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3</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479</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c r="F45" s="1239">
        <v>12</v>
      </c>
      <c r="G45" s="2593"/>
      <c r="H45" s="2593"/>
      <c r="M45" s="1613"/>
      <c r="N45" s="1613"/>
    </row>
    <row r="46" spans="1:14" ht="14.25">
      <c r="A46" s="2848" t="s">
        <v>1455</v>
      </c>
      <c r="B46" s="2603">
        <v>1E-3</v>
      </c>
      <c r="C46" s="2481" t="s">
        <v>2599</v>
      </c>
      <c r="D46" s="2601" t="s">
        <v>1218</v>
      </c>
      <c r="E46" s="2588">
        <v>3</v>
      </c>
      <c r="F46" s="1239">
        <v>3</v>
      </c>
      <c r="G46" s="2593"/>
      <c r="H46" s="2593"/>
      <c r="M46" s="1613"/>
      <c r="N46" s="1613"/>
    </row>
    <row r="47" spans="1:14" ht="15" thickBot="1">
      <c r="A47" s="2851" t="s">
        <v>1457</v>
      </c>
      <c r="B47" s="2604">
        <v>0.02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L52" sqref="L52"/>
      <selection pane="topRight" activeCell="L52" sqref="L52"/>
      <selection pane="bottomLeft" activeCell="L52" sqref="L52"/>
      <selection pane="bottomRight" activeCell="L52" sqref="L52"/>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1" t="s">
        <v>1463</v>
      </c>
      <c r="B1" s="3422"/>
      <c r="C1" s="3422"/>
      <c r="D1" s="3422"/>
      <c r="E1" s="3422"/>
      <c r="F1" s="3422"/>
      <c r="G1" s="3422"/>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29" sqref="G29"/>
    </sheetView>
  </sheetViews>
  <sheetFormatPr defaultColWidth="14.625" defaultRowHeight="13.5"/>
  <cols>
    <col min="1" max="1" width="24.375" style="2501" customWidth="1"/>
    <col min="2" max="16384" width="14.625" style="2501"/>
  </cols>
  <sheetData>
    <row r="1" spans="1:9" ht="16.5">
      <c r="A1" s="2499" t="s">
        <v>973</v>
      </c>
      <c r="B1" s="2499">
        <f>SUM(B14:B23)</f>
        <v>176.29</v>
      </c>
      <c r="C1" s="1562"/>
      <c r="D1" s="1562"/>
      <c r="E1" s="1562"/>
      <c r="F1" s="1562"/>
      <c r="G1" s="2500"/>
    </row>
    <row r="2" spans="1:9" ht="16.5">
      <c r="A2" s="2499" t="s">
        <v>974</v>
      </c>
      <c r="B2" s="2499">
        <f>SUM(C14:C23)</f>
        <v>43.2</v>
      </c>
      <c r="C2" s="1562"/>
      <c r="D2" s="1562"/>
      <c r="E2" s="1562"/>
      <c r="F2" s="1562"/>
      <c r="G2" s="2500"/>
    </row>
    <row r="3" spans="1:9" ht="16.5">
      <c r="A3" s="2499" t="s">
        <v>975</v>
      </c>
      <c r="B3" s="2502">
        <f>项目基本情况!D2</f>
        <v>44676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572</v>
      </c>
      <c r="C5" s="2499">
        <f ca="1">ROUND(B5*10000/$B$1,0)</f>
        <v>32447</v>
      </c>
      <c r="D5" s="2499">
        <f ca="1">ROUND(B5*10000/$B$2,0)</f>
        <v>132407</v>
      </c>
      <c r="E5" s="1562"/>
      <c r="F5" s="2500"/>
      <c r="G5" s="2500"/>
    </row>
    <row r="6" spans="1:9" ht="16.5">
      <c r="A6" s="2499" t="s">
        <v>981</v>
      </c>
      <c r="B6" s="2499">
        <f ca="1">SUM(G14:G23)</f>
        <v>572</v>
      </c>
      <c r="C6" s="2499">
        <f t="shared" ref="C6:C8" ca="1" si="0">ROUND(B6*10000/$B$1,0)</f>
        <v>32447</v>
      </c>
      <c r="D6" s="2499">
        <f t="shared" ref="D6:D8" ca="1" si="1">ROUND(B6*10000/$B$2,0)</f>
        <v>132407</v>
      </c>
      <c r="E6" s="1562"/>
      <c r="F6" s="2500"/>
      <c r="G6" s="2500"/>
    </row>
    <row r="7" spans="1:9" ht="16.5">
      <c r="A7" s="2499" t="s">
        <v>982</v>
      </c>
      <c r="B7" s="2499">
        <f>SUM(H14:H23)</f>
        <v>0</v>
      </c>
      <c r="C7" s="2499">
        <f>ROUND(B7*10000/$B$1,0)</f>
        <v>0</v>
      </c>
      <c r="D7" s="2499">
        <f t="shared" si="1"/>
        <v>0</v>
      </c>
      <c r="E7" s="1562"/>
      <c r="F7" s="2500"/>
      <c r="G7" s="2500"/>
    </row>
    <row r="8" spans="1:9" ht="16.5">
      <c r="A8" s="2499" t="s">
        <v>983</v>
      </c>
      <c r="B8" s="2499">
        <f>SUM(I14:I23)</f>
        <v>0</v>
      </c>
      <c r="C8" s="2499">
        <f t="shared" si="0"/>
        <v>0</v>
      </c>
      <c r="D8" s="2499">
        <f t="shared" si="1"/>
        <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3065</v>
      </c>
      <c r="B14" s="2835">
        <f>项目基本情况!C12</f>
        <v>176.29</v>
      </c>
      <c r="C14" s="2835">
        <f>项目基本情况!C13</f>
        <v>43.2</v>
      </c>
      <c r="D14" s="2835">
        <f ca="1">IF('数据-取费表'!B3="万元",IF(A14="估价对象1（结果表）",结果表!H121,'结果表 (1修多)'!H125),IF(A14="估价对象1（结果表）",结果表!H121,'结果表 (1修多)'!H125)/10000)</f>
        <v>572</v>
      </c>
      <c r="E14" s="2835">
        <f ca="1">ROUND(D14*10000/B14,0)</f>
        <v>32447</v>
      </c>
      <c r="F14" s="2835">
        <f ca="1">ROUND(D14*10000/C14,0)</f>
        <v>132407</v>
      </c>
      <c r="G14" s="2835">
        <f ca="1">IF('数据-取费表'!B3="万元",IF(A14="估价对象1（结果表）",结果表!D125,'结果表 (1修多)'!D129),IF(A14="估价对象1（结果表）",结果表!D125,'结果表 (1修多)'!D129)/10000)</f>
        <v>572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 zoomScale="80" zoomScaleNormal="100" zoomScaleSheetLayoutView="80" zoomScalePageLayoutView="80" workbookViewId="0">
      <selection activeCell="L127" sqref="L12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8" t="str">
        <f>项目基本情况!B1</f>
        <v>北京市房地产抵押价值预评估</v>
      </c>
      <c r="B2" s="3478"/>
      <c r="C2" s="3478"/>
      <c r="D2" s="3478"/>
      <c r="E2" s="3478"/>
      <c r="F2" s="3478"/>
      <c r="G2" s="3478"/>
      <c r="H2" s="3478"/>
      <c r="I2" s="3478"/>
      <c r="J2" s="2762"/>
    </row>
    <row r="3" spans="1:15" ht="12.75">
      <c r="A3" s="3481" t="s">
        <v>1471</v>
      </c>
      <c r="B3" s="3482"/>
      <c r="C3" s="3482"/>
      <c r="D3" s="3482"/>
      <c r="E3" s="3482"/>
      <c r="F3" s="3482"/>
      <c r="G3" s="3482"/>
      <c r="H3" s="3482"/>
      <c r="I3" s="3482"/>
      <c r="J3" s="2763"/>
    </row>
    <row r="4" spans="1:15" ht="14.25">
      <c r="A4" s="2631" t="s">
        <v>1472</v>
      </c>
      <c r="B4" s="2631" t="s">
        <v>1473</v>
      </c>
      <c r="C4" s="2632" t="s">
        <v>3058</v>
      </c>
      <c r="D4" s="2632" t="s">
        <v>3059</v>
      </c>
      <c r="E4" s="3427" t="s">
        <v>1474</v>
      </c>
      <c r="F4" s="3465"/>
      <c r="G4" s="3465"/>
      <c r="H4" s="3465"/>
      <c r="I4" s="3466"/>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8" t="s">
        <v>1475</v>
      </c>
      <c r="B5" s="3458">
        <v>25</v>
      </c>
      <c r="C5" s="3467"/>
      <c r="D5" s="3480"/>
      <c r="E5" s="12" t="s">
        <v>1476</v>
      </c>
      <c r="F5" s="2017"/>
      <c r="G5" s="2017"/>
      <c r="H5" s="2017"/>
      <c r="I5" s="2012"/>
      <c r="J5" s="2764"/>
    </row>
    <row r="6" spans="1:15" ht="12.75">
      <c r="A6" s="3458"/>
      <c r="B6" s="3458"/>
      <c r="C6" s="3483"/>
      <c r="D6" s="3480"/>
      <c r="E6" s="12" t="s">
        <v>1477</v>
      </c>
      <c r="F6" s="2017"/>
      <c r="G6" s="2017"/>
      <c r="H6" s="2017"/>
      <c r="I6" s="2012"/>
      <c r="J6" s="2764"/>
    </row>
    <row r="7" spans="1:15" ht="12.75">
      <c r="A7" s="3458"/>
      <c r="B7" s="3458"/>
      <c r="C7" s="3468"/>
      <c r="D7" s="3480"/>
      <c r="E7" s="12" t="s">
        <v>1478</v>
      </c>
      <c r="F7" s="2017"/>
      <c r="G7" s="2017"/>
      <c r="H7" s="2017"/>
      <c r="I7" s="2012"/>
      <c r="J7" s="2764"/>
    </row>
    <row r="8" spans="1:15" ht="12.75">
      <c r="A8" s="3458" t="s">
        <v>1479</v>
      </c>
      <c r="B8" s="3458">
        <v>15</v>
      </c>
      <c r="C8" s="3467"/>
      <c r="D8" s="3480"/>
      <c r="E8" s="12" t="s">
        <v>1480</v>
      </c>
      <c r="F8" s="2017"/>
      <c r="G8" s="2017"/>
      <c r="H8" s="2017"/>
      <c r="I8" s="2012"/>
      <c r="J8" s="2764"/>
    </row>
    <row r="9" spans="1:15" ht="12.75">
      <c r="A9" s="3458"/>
      <c r="B9" s="3458"/>
      <c r="C9" s="3468"/>
      <c r="D9" s="3480"/>
      <c r="E9" s="12" t="s">
        <v>1481</v>
      </c>
      <c r="F9" s="2017"/>
      <c r="G9" s="2017"/>
      <c r="H9" s="2017"/>
      <c r="I9" s="2012"/>
      <c r="J9" s="2764"/>
    </row>
    <row r="10" spans="1:15" ht="12.75">
      <c r="A10" s="3458" t="s">
        <v>1482</v>
      </c>
      <c r="B10" s="3458">
        <v>15</v>
      </c>
      <c r="C10" s="3467"/>
      <c r="D10" s="3480"/>
      <c r="E10" s="12" t="s">
        <v>1483</v>
      </c>
      <c r="F10" s="2017"/>
      <c r="G10" s="2017"/>
      <c r="H10" s="2017"/>
      <c r="I10" s="2012"/>
      <c r="J10" s="2764"/>
    </row>
    <row r="11" spans="1:15" ht="12.75">
      <c r="A11" s="3458"/>
      <c r="B11" s="3458"/>
      <c r="C11" s="3468"/>
      <c r="D11" s="3480"/>
      <c r="E11" s="12" t="s">
        <v>1484</v>
      </c>
      <c r="F11" s="2017"/>
      <c r="G11" s="2017"/>
      <c r="H11" s="2017"/>
      <c r="I11" s="2012"/>
      <c r="J11" s="2764"/>
    </row>
    <row r="12" spans="1:15" ht="12.75">
      <c r="A12" s="3458" t="s">
        <v>1485</v>
      </c>
      <c r="B12" s="3458">
        <v>15</v>
      </c>
      <c r="C12" s="3467"/>
      <c r="D12" s="3480"/>
      <c r="E12" s="12" t="s">
        <v>1486</v>
      </c>
      <c r="F12" s="2017"/>
      <c r="G12" s="2017"/>
      <c r="H12" s="2017"/>
      <c r="I12" s="2012"/>
      <c r="J12" s="2764"/>
    </row>
    <row r="13" spans="1:15" ht="12.75">
      <c r="A13" s="3458"/>
      <c r="B13" s="3458"/>
      <c r="C13" s="3468"/>
      <c r="D13" s="3480"/>
      <c r="E13" s="12" t="s">
        <v>1487</v>
      </c>
      <c r="F13" s="2017"/>
      <c r="G13" s="2017"/>
      <c r="H13" s="2017"/>
      <c r="I13" s="2012"/>
      <c r="J13" s="2764"/>
    </row>
    <row r="14" spans="1:15" ht="12.75">
      <c r="A14" s="3458" t="s">
        <v>1488</v>
      </c>
      <c r="B14" s="3458">
        <v>30</v>
      </c>
      <c r="C14" s="3467">
        <v>5</v>
      </c>
      <c r="D14" s="3480">
        <v>5</v>
      </c>
      <c r="E14" s="12" t="s">
        <v>1489</v>
      </c>
      <c r="F14" s="2017"/>
      <c r="G14" s="2017"/>
      <c r="H14" s="2017"/>
      <c r="I14" s="2012"/>
      <c r="J14" s="2764"/>
    </row>
    <row r="15" spans="1:15" ht="12.75">
      <c r="A15" s="3458"/>
      <c r="B15" s="3458"/>
      <c r="C15" s="3483"/>
      <c r="D15" s="3480"/>
      <c r="E15" s="12" t="s">
        <v>1490</v>
      </c>
      <c r="F15" s="2017"/>
      <c r="G15" s="2017"/>
      <c r="H15" s="2017"/>
      <c r="I15" s="2012"/>
      <c r="J15" s="2764"/>
    </row>
    <row r="16" spans="1:15" ht="12.75">
      <c r="A16" s="3458"/>
      <c r="B16" s="3458"/>
      <c r="C16" s="3468"/>
      <c r="D16" s="3480"/>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76" t="s">
        <v>2575</v>
      </c>
      <c r="F18" s="3477"/>
      <c r="G18" s="3477"/>
      <c r="H18" s="3477"/>
      <c r="I18" s="3477"/>
      <c r="J18" s="2765"/>
    </row>
    <row r="19" spans="1:36" ht="15">
      <c r="A19" s="2638" t="s">
        <v>1494</v>
      </c>
      <c r="B19" s="2639" t="s">
        <v>1495</v>
      </c>
      <c r="C19" s="2640">
        <f ca="1">SUMIF(INDIRECT("'"&amp;C4&amp;"'"&amp;"!A:A"),结果表!B19,INDIRECT("'"&amp;C4&amp;"'"&amp;"!B:B"))</f>
        <v>587</v>
      </c>
      <c r="D19" s="2641">
        <f ca="1">SUMIF(INDIRECT("'"&amp;D4&amp;"'"&amp;"!A:A"),结果表!B19,INDIRECT("'"&amp;D4&amp;"'"&amp;"!B:B"))</f>
        <v>557</v>
      </c>
      <c r="E19" s="2638" t="s">
        <v>1496</v>
      </c>
      <c r="F19" s="2639" t="s">
        <v>1495</v>
      </c>
      <c r="G19" s="2642">
        <f ca="1">ROUND(C19*$C$18+D19*$D$18,0)</f>
        <v>572</v>
      </c>
      <c r="H19" s="2643" t="str">
        <f>'数据-取费表'!B3</f>
        <v>万元</v>
      </c>
      <c r="I19" s="2691"/>
      <c r="J19" s="2766"/>
    </row>
    <row r="20" spans="1:36" ht="15">
      <c r="A20" s="2644"/>
      <c r="B20" s="1622" t="s">
        <v>1497</v>
      </c>
      <c r="C20" s="1847">
        <f ca="1">SUMIF(INDIRECT("'"&amp;C4&amp;"'"&amp;"!A:A"),结果表!B20,INDIRECT("'"&amp;C4&amp;"'"&amp;"!B:B"))</f>
        <v>33318</v>
      </c>
      <c r="D20" s="1850">
        <f ca="1">SUMIF(INDIRECT("'"&amp;D4&amp;"'"&amp;"!A:A"),结果表!B20,INDIRECT("'"&amp;D4&amp;"'"&amp;"!B:B"))</f>
        <v>31618</v>
      </c>
      <c r="E20" s="2644"/>
      <c r="F20" s="1622" t="s">
        <v>1497</v>
      </c>
      <c r="G20" s="2021">
        <f ca="1">ROUND(C20*$C$18+D20*$D$18,0)</f>
        <v>32468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5.3859964093357249E-2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9" t="s">
        <v>1500</v>
      </c>
      <c r="B24" s="2639" t="s">
        <v>1495</v>
      </c>
      <c r="C24" s="2642">
        <f>D30</f>
        <v>0</v>
      </c>
      <c r="D24" s="2594"/>
      <c r="E24" s="905"/>
      <c r="F24" s="905"/>
      <c r="G24" s="905"/>
      <c r="H24" s="905"/>
      <c r="I24" s="905"/>
      <c r="J24" s="2765"/>
    </row>
    <row r="25" spans="1:36" ht="21.75" customHeight="1">
      <c r="A25" s="3486"/>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572</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495</v>
      </c>
      <c r="D34" s="2668">
        <f ca="1">IF(D33="自定义",ROUND(C34/C32,3),1-D35)</f>
        <v>0.86499999999999999</v>
      </c>
      <c r="E34" s="1363" t="s">
        <v>1510</v>
      </c>
      <c r="F34" s="2669">
        <v>2000</v>
      </c>
      <c r="G34" s="905"/>
      <c r="H34" s="905"/>
      <c r="I34" s="905"/>
      <c r="J34" s="2765"/>
    </row>
    <row r="35" spans="1:17" ht="15.75" thickBot="1">
      <c r="A35" s="1395"/>
      <c r="B35" s="2670" t="s">
        <v>1511</v>
      </c>
      <c r="C35" s="2671">
        <f ca="1">IF(D33="自定义",F35,ROUND(C32*D35,0))</f>
        <v>77</v>
      </c>
      <c r="D35" s="2672">
        <f ca="1">IF(D33="自定义",ROUND(C35/C32,3),IF(D33="成本法成本比率",成本法!C56,IF(D33="收益法收益比率",收益法!J38,收益法!J41)))</f>
        <v>0.13500000000000001</v>
      </c>
      <c r="E35" s="2673" t="s">
        <v>1512</v>
      </c>
      <c r="F35" s="2674">
        <v>4460</v>
      </c>
      <c r="G35" s="905"/>
      <c r="H35" s="905"/>
      <c r="I35" s="905"/>
      <c r="J35" s="2765"/>
    </row>
    <row r="36" spans="1:17" ht="15.75" thickBot="1">
      <c r="A36" s="3469" t="s">
        <v>1513</v>
      </c>
      <c r="B36" s="1396" t="s">
        <v>1514</v>
      </c>
      <c r="C36" s="2675">
        <v>0</v>
      </c>
      <c r="D36" s="2676"/>
      <c r="E36" s="1608"/>
      <c r="F36" s="1608"/>
      <c r="G36" s="905"/>
      <c r="H36" s="905"/>
      <c r="I36" s="905"/>
      <c r="J36" s="2765"/>
    </row>
    <row r="37" spans="1:17" ht="15.75" thickBot="1">
      <c r="A37" s="3470"/>
      <c r="B37" s="2022" t="s">
        <v>1515</v>
      </c>
      <c r="C37" s="2677">
        <v>0</v>
      </c>
      <c r="D37" s="1239"/>
      <c r="E37" s="1239"/>
      <c r="F37" s="1608"/>
      <c r="G37" s="1239"/>
      <c r="H37" s="1239"/>
      <c r="I37" s="1239"/>
      <c r="J37" s="2769"/>
    </row>
    <row r="38" spans="1:17" ht="15.75" thickBot="1">
      <c r="A38" s="3471"/>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3" t="s">
        <v>1524</v>
      </c>
      <c r="B45" s="3474"/>
      <c r="C45" s="3433"/>
      <c r="D45" s="246">
        <f ca="1">ROUND(I102*F45,0)</f>
        <v>572</v>
      </c>
      <c r="E45" s="1470" t="s">
        <v>1525</v>
      </c>
      <c r="F45" s="2479">
        <v>1</v>
      </c>
      <c r="G45" s="2480" t="s">
        <v>1526</v>
      </c>
      <c r="H45" s="905"/>
      <c r="I45" s="905"/>
      <c r="J45" s="2765"/>
      <c r="K45" s="3527" t="s">
        <v>2504</v>
      </c>
      <c r="L45" s="3527"/>
      <c r="M45" s="3527"/>
      <c r="N45" s="3527"/>
      <c r="O45" s="3527"/>
      <c r="P45" s="3527"/>
      <c r="Q45" s="1236"/>
    </row>
    <row r="46" spans="1:17" ht="14.25" customHeight="1">
      <c r="A46" s="3462" t="s">
        <v>1528</v>
      </c>
      <c r="B46" s="3463"/>
      <c r="C46" s="3463"/>
      <c r="D46" s="3463"/>
      <c r="E46" s="3463"/>
      <c r="F46" s="3463"/>
      <c r="G46" s="3464"/>
      <c r="H46" s="2897"/>
      <c r="I46" s="905"/>
      <c r="J46" s="2765"/>
      <c r="K46" s="2454">
        <v>1</v>
      </c>
      <c r="L46" s="3528" t="s">
        <v>2505</v>
      </c>
      <c r="M46" s="3528"/>
      <c r="N46" s="3529" t="str">
        <f>项目基本情况!B1</f>
        <v>北京市房地产抵押价值预评估</v>
      </c>
      <c r="O46" s="3529"/>
      <c r="P46" s="3529"/>
      <c r="Q46" s="1236"/>
    </row>
    <row r="47" spans="1:17" ht="12" customHeight="1">
      <c r="A47" s="38" t="s">
        <v>1530</v>
      </c>
      <c r="B47" s="39"/>
      <c r="C47" s="40"/>
      <c r="D47" s="1028" t="s">
        <v>1531</v>
      </c>
      <c r="E47" s="235" t="s">
        <v>1532</v>
      </c>
      <c r="F47" s="41" t="s">
        <v>1533</v>
      </c>
      <c r="G47" s="2482" t="s">
        <v>1534</v>
      </c>
      <c r="H47" s="2897"/>
      <c r="I47" s="905"/>
      <c r="J47" s="2765"/>
      <c r="K47" s="2454">
        <v>2</v>
      </c>
      <c r="L47" s="3528" t="s">
        <v>2506</v>
      </c>
      <c r="M47" s="3528"/>
      <c r="N47" s="3530">
        <f>'数据-取费表'!B2</f>
        <v>44676</v>
      </c>
      <c r="O47" s="3530"/>
      <c r="P47" s="3530"/>
      <c r="Q47" s="1236"/>
    </row>
    <row r="48" spans="1:17" ht="25.5">
      <c r="A48" s="3472" t="s">
        <v>1536</v>
      </c>
      <c r="B48" s="3426"/>
      <c r="C48" s="3426"/>
      <c r="D48" s="12">
        <f ca="1">IF(H48="情况1",0,IF(H48="情况2",D52,IF(H48="情况3",D53,IF(H48="情况4",D54))))</f>
        <v>31</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8" t="s">
        <v>2507</v>
      </c>
      <c r="M48" s="3528"/>
      <c r="N48" s="3529">
        <f ca="1">I102</f>
        <v>572</v>
      </c>
      <c r="O48" s="3529"/>
      <c r="P48" s="3529"/>
      <c r="Q48" s="1236"/>
    </row>
    <row r="49" spans="1:17" ht="25.5" customHeight="1">
      <c r="A49" s="2019" t="s">
        <v>1540</v>
      </c>
      <c r="B49" s="3465" t="s">
        <v>1541</v>
      </c>
      <c r="C49" s="3465"/>
      <c r="D49" s="2486">
        <v>0</v>
      </c>
      <c r="E49" s="261" t="s">
        <v>1542</v>
      </c>
      <c r="F49" s="2487" t="s">
        <v>48</v>
      </c>
      <c r="G49" s="3522"/>
      <c r="H49" s="2488" t="s">
        <v>2581</v>
      </c>
      <c r="I49" s="2489"/>
      <c r="J49" s="2773"/>
      <c r="K49" s="2454">
        <v>4</v>
      </c>
      <c r="L49" s="3528" t="str">
        <f>IF(项目基本情况!F5="房地产抵押价值","房地产抵押价值","抵押担保权已注销时的房地产抵押价值")</f>
        <v>房地产抵押价值</v>
      </c>
      <c r="M49" s="3528"/>
      <c r="N49" s="3529">
        <f ca="1">IF(项目基本情况!F5="房地产抵押价值",I110,I112)</f>
        <v>572</v>
      </c>
      <c r="O49" s="3529"/>
      <c r="P49" s="3529"/>
      <c r="Q49" s="1236"/>
    </row>
    <row r="50" spans="1:17" ht="25.5" customHeight="1">
      <c r="A50" s="2009"/>
      <c r="B50" s="3465" t="s">
        <v>1543</v>
      </c>
      <c r="C50" s="3465"/>
      <c r="D50" s="2490"/>
      <c r="E50" s="269"/>
      <c r="F50" s="2487"/>
      <c r="G50" s="3523"/>
      <c r="H50" s="2491" t="s">
        <v>2500</v>
      </c>
      <c r="I50" s="2489"/>
      <c r="J50" s="2773"/>
      <c r="K50" s="3528" t="s">
        <v>2508</v>
      </c>
      <c r="L50" s="3528"/>
      <c r="M50" s="3528"/>
      <c r="N50" s="3528"/>
      <c r="O50" s="3528"/>
      <c r="P50" s="3528"/>
      <c r="Q50" s="1236"/>
    </row>
    <row r="51" spans="1:17" ht="20.45" customHeight="1">
      <c r="A51" s="2492"/>
      <c r="B51" s="3465" t="s">
        <v>1545</v>
      </c>
      <c r="C51" s="3465"/>
      <c r="D51" s="1028"/>
      <c r="E51" s="264"/>
      <c r="F51" s="2487"/>
      <c r="G51" s="3524"/>
      <c r="H51" s="2491" t="s">
        <v>2501</v>
      </c>
      <c r="I51" s="2489"/>
      <c r="J51" s="2773"/>
      <c r="K51" s="2455" t="s">
        <v>2509</v>
      </c>
      <c r="L51" s="3528" t="s">
        <v>2510</v>
      </c>
      <c r="M51" s="3528"/>
      <c r="N51" s="2455" t="s">
        <v>2511</v>
      </c>
      <c r="O51" s="2455" t="s">
        <v>2512</v>
      </c>
      <c r="P51" s="2455" t="s">
        <v>2513</v>
      </c>
      <c r="Q51" s="1236"/>
    </row>
    <row r="52" spans="1:17" ht="24" customHeight="1">
      <c r="A52" s="2010" t="s">
        <v>1551</v>
      </c>
      <c r="B52" s="3465" t="s">
        <v>1552</v>
      </c>
      <c r="C52" s="3465"/>
      <c r="D52" s="1028">
        <f ca="1">ROUND(D45*'数据-取费表'!E29/(1+'数据-取费表'!F30),0)</f>
        <v>31</v>
      </c>
      <c r="E52" s="2020" t="s">
        <v>1553</v>
      </c>
      <c r="F52" s="2493">
        <f>'数据-取费表'!E29</f>
        <v>5.6000000000000001E-2</v>
      </c>
      <c r="G52" s="2494"/>
      <c r="H52" s="905"/>
      <c r="I52" s="2898"/>
      <c r="J52" s="2773"/>
      <c r="K52" s="2454">
        <v>1</v>
      </c>
      <c r="L52" s="3495" t="s">
        <v>2514</v>
      </c>
      <c r="M52" s="3495"/>
      <c r="N52" s="2456">
        <f ca="1">D48</f>
        <v>31</v>
      </c>
      <c r="O52" s="2454" t="str">
        <f>E48</f>
        <v>销售额×税（费）率</v>
      </c>
      <c r="P52" s="2457">
        <f>F48</f>
        <v>5.6000000000000001E-2</v>
      </c>
      <c r="Q52" s="1236"/>
    </row>
    <row r="53" spans="1:17" ht="12" customHeight="1">
      <c r="A53" s="2010" t="s">
        <v>1555</v>
      </c>
      <c r="B53" s="3427" t="s">
        <v>2592</v>
      </c>
      <c r="C53" s="3466"/>
      <c r="D53" s="1028">
        <f ca="1">ROUND(D45*'数据-取费表'!E29/(1+'数据-取费表'!F30),0)</f>
        <v>31</v>
      </c>
      <c r="E53" s="2020" t="s">
        <v>1553</v>
      </c>
      <c r="F53" s="2493">
        <f>'数据-取费表'!E29</f>
        <v>5.6000000000000001E-2</v>
      </c>
      <c r="G53" s="2494"/>
      <c r="H53" s="905"/>
      <c r="I53" s="2898"/>
      <c r="J53" s="2773"/>
      <c r="K53" s="2454">
        <v>2</v>
      </c>
      <c r="L53" s="3495" t="s">
        <v>2515</v>
      </c>
      <c r="M53" s="3495"/>
      <c r="N53" s="2456">
        <f t="shared" ref="N53:P54" si="1">D55</f>
        <v>0</v>
      </c>
      <c r="O53" s="2454" t="str">
        <f t="shared" si="1"/>
        <v>销售额×税（费）率</v>
      </c>
      <c r="P53" s="2457" t="str">
        <f t="shared" si="1"/>
        <v>免征</v>
      </c>
      <c r="Q53" s="1236"/>
    </row>
    <row r="54" spans="1:17" ht="12" customHeight="1">
      <c r="A54" s="2010" t="s">
        <v>1557</v>
      </c>
      <c r="B54" s="3427" t="s">
        <v>2593</v>
      </c>
      <c r="C54" s="3466"/>
      <c r="D54" s="1028">
        <f ca="1">C68</f>
        <v>31</v>
      </c>
      <c r="E54" s="264" t="s">
        <v>1558</v>
      </c>
      <c r="F54" s="2493">
        <f>'数据-取费表'!E29</f>
        <v>5.6000000000000001E-2</v>
      </c>
      <c r="G54" s="2494"/>
      <c r="H54" s="2899"/>
      <c r="I54" s="2898"/>
      <c r="J54" s="2773"/>
      <c r="K54" s="2454">
        <v>3</v>
      </c>
      <c r="L54" s="3495" t="s">
        <v>2516</v>
      </c>
      <c r="M54" s="3495"/>
      <c r="N54" s="2456">
        <f t="shared" si="1"/>
        <v>0</v>
      </c>
      <c r="O54" s="2454" t="str">
        <f t="shared" si="1"/>
        <v>增值额×税（费）率</v>
      </c>
      <c r="P54" s="2458" t="str">
        <f t="shared" si="1"/>
        <v>免征</v>
      </c>
      <c r="Q54" s="1236"/>
    </row>
    <row r="55" spans="1:17" ht="24" customHeight="1">
      <c r="A55" s="3425" t="s">
        <v>1560</v>
      </c>
      <c r="B55" s="3426"/>
      <c r="C55" s="3426"/>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5" t="str">
        <f>IF(H59="非个人房产","——","个人所得税")</f>
        <v>——</v>
      </c>
      <c r="M55" s="3495"/>
      <c r="N55" s="2459" t="str">
        <f>D59</f>
        <v>——</v>
      </c>
      <c r="O55" s="2460" t="str">
        <f>E59</f>
        <v>——</v>
      </c>
      <c r="P55" s="2461" t="str">
        <f>F59</f>
        <v>——</v>
      </c>
      <c r="Q55" s="1236"/>
    </row>
    <row r="56" spans="1:17" ht="24.75">
      <c r="A56" s="3425" t="s">
        <v>1563</v>
      </c>
      <c r="B56" s="3426"/>
      <c r="C56" s="3426"/>
      <c r="D56" s="12">
        <f>IF(H56="个人住宅",D57,D58)</f>
        <v>0</v>
      </c>
      <c r="E56" s="2020" t="s">
        <v>1564</v>
      </c>
      <c r="F56" s="2493" t="str">
        <f>IF(H56="正常",F58,"免征")</f>
        <v>免征</v>
      </c>
      <c r="G56" s="2495" t="s">
        <v>1565</v>
      </c>
      <c r="H56" s="2496" t="s">
        <v>2497</v>
      </c>
      <c r="I56" s="2900"/>
      <c r="J56" s="2773"/>
      <c r="K56" s="2454" t="str">
        <f>IF(项目基本情况!I6="上海银行",IF(K55="",4,K55+1),"")</f>
        <v/>
      </c>
      <c r="L56" s="3509" t="str">
        <f>IF(项目基本情况!I6="上海银行","其他处置费用","")</f>
        <v/>
      </c>
      <c r="M56" s="3510"/>
      <c r="N56" s="2456" t="str">
        <f>IF(项目基本情况!I6="上海银行",N69,"")</f>
        <v/>
      </c>
      <c r="O56" s="3509" t="str">
        <f>IF(项目基本情况!I6="上海银行","包含处置中涉及的律师、诉讼、拍卖、评估等费用","")</f>
        <v/>
      </c>
      <c r="P56" s="3521"/>
      <c r="Q56" s="1236"/>
    </row>
    <row r="57" spans="1:17" ht="12.75">
      <c r="A57" s="2010" t="s">
        <v>1540</v>
      </c>
      <c r="B57" s="3427" t="s">
        <v>1566</v>
      </c>
      <c r="C57" s="3466"/>
      <c r="D57" s="2486">
        <v>0</v>
      </c>
      <c r="E57" s="261" t="s">
        <v>1542</v>
      </c>
      <c r="F57" s="235"/>
      <c r="G57" s="2494"/>
      <c r="H57" s="2900"/>
      <c r="I57" s="2900"/>
      <c r="J57" s="2773"/>
      <c r="K57" s="3495">
        <f>IF(AND(K55="",K56=""),4,IF(项目基本情况!I6="上海银行",K56+1,K55+1))</f>
        <v>4</v>
      </c>
      <c r="L57" s="3495" t="s">
        <v>2517</v>
      </c>
      <c r="M57" s="2462" t="s">
        <v>2518</v>
      </c>
      <c r="N57" s="2463"/>
      <c r="O57" s="2464">
        <f ca="1">SUMIF(N52:N56,"&lt;9e307")</f>
        <v>31</v>
      </c>
      <c r="P57" s="2465"/>
      <c r="Q57" s="1234">
        <f ca="1">O57/N49</f>
        <v>5.4195804195804193E-2</v>
      </c>
    </row>
    <row r="58" spans="1:17" ht="24.75">
      <c r="A58" s="2010" t="s">
        <v>1551</v>
      </c>
      <c r="B58" s="3427" t="s">
        <v>1569</v>
      </c>
      <c r="C58" s="3465"/>
      <c r="D58" s="12">
        <f ca="1">IF(H58="转让取得",C81,C97)</f>
        <v>324</v>
      </c>
      <c r="E58" s="2020" t="s">
        <v>1564</v>
      </c>
      <c r="F58" s="235" t="s">
        <v>48</v>
      </c>
      <c r="G58" s="2494"/>
      <c r="H58" s="2496" t="s">
        <v>1570</v>
      </c>
      <c r="I58" s="2900"/>
      <c r="J58" s="2773"/>
      <c r="K58" s="3495"/>
      <c r="L58" s="3495"/>
      <c r="M58" s="2462" t="s">
        <v>2519</v>
      </c>
      <c r="N58" s="2466"/>
      <c r="O58" s="2467" t="str">
        <f ca="1">IF(H19="元",NUMBERSTRING(INT(O57),2)&amp;"元整",NUMBERSTRING(INT(O57*10000),2)&amp;"元整")</f>
        <v>叁拾壹万元整</v>
      </c>
      <c r="P58" s="2468"/>
      <c r="Q58" s="1236"/>
    </row>
    <row r="59" spans="1:17" ht="24.75" thickBot="1">
      <c r="A59" s="3449" t="s">
        <v>1572</v>
      </c>
      <c r="B59" s="3450"/>
      <c r="C59" s="345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3">
        <f>K57+1</f>
        <v>5</v>
      </c>
      <c r="L59" s="3495" t="s">
        <v>2520</v>
      </c>
      <c r="M59" s="2454" t="s">
        <v>2518</v>
      </c>
      <c r="N59" s="2469"/>
      <c r="O59" s="2470">
        <f ca="1">N49-O57</f>
        <v>541</v>
      </c>
      <c r="P59" s="2471"/>
      <c r="Q59" s="1236"/>
    </row>
    <row r="60" spans="1:17" ht="12" customHeight="1">
      <c r="A60" s="1385"/>
      <c r="B60" s="1389"/>
      <c r="C60" s="1389"/>
      <c r="D60" s="1389"/>
      <c r="E60" s="770"/>
      <c r="F60" s="2901"/>
      <c r="G60" s="2901"/>
      <c r="H60" s="2902"/>
      <c r="I60" s="31"/>
      <c r="K60" s="3494"/>
      <c r="L60" s="3495"/>
      <c r="M60" s="2462" t="s">
        <v>2519</v>
      </c>
      <c r="N60" s="2466"/>
      <c r="O60" s="2467" t="str">
        <f ca="1">IF(H19="元",NUMBERSTRING(INT(O59),2)&amp;"元整",NUMBERSTRING(INT(O59*10000),2)&amp;"元整")</f>
        <v>伍佰肆拾壹万元整</v>
      </c>
      <c r="P60" s="2468"/>
      <c r="Q60" s="1236"/>
    </row>
    <row r="61" spans="1:17" ht="13.5" thickBot="1">
      <c r="A61" s="3475" t="s">
        <v>1574</v>
      </c>
      <c r="B61" s="3475"/>
      <c r="C61" s="3475"/>
      <c r="D61" s="3475"/>
      <c r="E61" s="3475"/>
      <c r="F61" s="2901"/>
      <c r="G61" s="2901"/>
      <c r="H61" s="2903"/>
      <c r="I61" s="31"/>
      <c r="K61" s="2454">
        <f>K59+1</f>
        <v>6</v>
      </c>
      <c r="L61" s="3495" t="s">
        <v>2521</v>
      </c>
      <c r="M61" s="3495"/>
      <c r="N61" s="2472"/>
      <c r="O61" s="2473">
        <f ca="1">IF(H19="元",ROUND(O59/项目基本情况!C12,0),ROUND(O59*10000/项目基本情况!C12,0))</f>
        <v>30688</v>
      </c>
      <c r="P61" s="2474"/>
      <c r="Q61" s="1236"/>
    </row>
    <row r="62" spans="1:17" ht="12.75">
      <c r="A62" s="3484" t="s">
        <v>1576</v>
      </c>
      <c r="B62" s="3485"/>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545</v>
      </c>
      <c r="D63" s="47"/>
      <c r="E63" s="48"/>
      <c r="F63" s="2901"/>
      <c r="G63" s="2901"/>
      <c r="H63" s="2903"/>
      <c r="I63" s="31"/>
      <c r="K63" s="3511" t="s">
        <v>2522</v>
      </c>
      <c r="L63" s="2476" t="s">
        <v>2523</v>
      </c>
      <c r="M63" s="2476">
        <f ca="1">IF(N49&gt;10000,N49*0.5%,IF(AND(N49&gt;1000,N49&lt;=10000),N49*1%,IF(AND(N49&gt;100,N49&lt;=1000),N49*3%,IF(AND(N49&gt;10,N49&lt;=100),N49*5%,N49*8%))))</f>
        <v>17.16</v>
      </c>
      <c r="N63" s="2477">
        <f ca="1">ROUND(M63,1)</f>
        <v>17.2</v>
      </c>
      <c r="O63" s="2475"/>
      <c r="P63" s="2475"/>
      <c r="Q63" s="1236"/>
    </row>
    <row r="64" spans="1:17" ht="12.75">
      <c r="A64" s="49" t="s">
        <v>71</v>
      </c>
      <c r="B64" s="50" t="s">
        <v>1582</v>
      </c>
      <c r="C64" s="2705">
        <f ca="1">D45</f>
        <v>572</v>
      </c>
      <c r="D64" s="50" t="s">
        <v>41</v>
      </c>
      <c r="E64" s="52"/>
      <c r="F64" s="2901"/>
      <c r="G64" s="2901"/>
      <c r="H64" s="2903"/>
      <c r="I64" s="31"/>
      <c r="K64" s="3511"/>
      <c r="L64" s="2476" t="s">
        <v>2524</v>
      </c>
      <c r="M64" s="2476">
        <f ca="1">IF(N49&gt;2000,N49*0.5%,IF(AND(N49&gt;1000,N49&lt;=2000),N49*0.6%,IF(AND(N49&gt;500,N49&lt;=1000),N49*0.7%,IF(AND(N49&gt;200,N49&lt;=500),N49*0.8%,IF(AND(N49&gt;100,N49&lt;=200),N49*0.9%,IF(AND(N49&gt;50,N49&lt;=100),N49*1%,IF(AND(N49&gt;20,N49&lt;=50),N49*1.5%,IF(AND(N49&gt;10,N49&lt;=20),N49*2%,IF(AND(N49&gt;1,N49&lt;=10),N49*2.5%)))))))))</f>
        <v>4.0039999999999996</v>
      </c>
      <c r="N64" s="2477">
        <f t="shared" ref="N64:N65" ca="1" si="2">ROUND(M64,1)</f>
        <v>4</v>
      </c>
      <c r="O64" s="2475" t="s">
        <v>2525</v>
      </c>
      <c r="P64" s="2475"/>
      <c r="Q64" s="1236"/>
    </row>
    <row r="65" spans="1:36" ht="12.75">
      <c r="A65" s="49" t="s">
        <v>72</v>
      </c>
      <c r="B65" s="50" t="s">
        <v>1585</v>
      </c>
      <c r="C65" s="2706"/>
      <c r="D65" s="50"/>
      <c r="E65" s="52"/>
      <c r="F65" s="2901"/>
      <c r="G65" s="2901"/>
      <c r="H65" s="2903"/>
      <c r="I65" s="31"/>
      <c r="K65" s="3511"/>
      <c r="L65" s="2476" t="s">
        <v>2526</v>
      </c>
      <c r="M65" s="2476">
        <f ca="1">IF(N49&gt;1000,N49*0.1%,IF(AND(N49&gt;500,N49&lt;=1000),N49*0.5%,IF(AND(N49&gt;50,N49&lt;=500),N49*1%,IF(AND(N49&gt;1,N49&lt;=50),N49*1.5%))))</f>
        <v>2.86</v>
      </c>
      <c r="N65" s="2477">
        <f t="shared" ca="1" si="2"/>
        <v>2.9</v>
      </c>
      <c r="O65" s="2475" t="s">
        <v>2525</v>
      </c>
      <c r="P65" s="2475"/>
      <c r="Q65" s="1236"/>
    </row>
    <row r="66" spans="1:36" ht="12.75">
      <c r="A66" s="53" t="s">
        <v>47</v>
      </c>
      <c r="B66" s="54" t="s">
        <v>1587</v>
      </c>
      <c r="C66" s="2707"/>
      <c r="D66" s="54" t="s">
        <v>41</v>
      </c>
      <c r="E66" s="1244" t="s">
        <v>1588</v>
      </c>
      <c r="F66" s="2901"/>
      <c r="G66" s="2901"/>
      <c r="H66" s="2903"/>
      <c r="I66" s="31"/>
      <c r="K66" s="3511"/>
      <c r="L66" s="2476" t="s">
        <v>2527</v>
      </c>
      <c r="M66" s="2476">
        <f ca="1">N49*0.5%</f>
        <v>2.86</v>
      </c>
      <c r="N66" s="2477">
        <f ca="1">IF(M66&gt;0.5,0.5,ROUND(M66,0))</f>
        <v>0.5</v>
      </c>
      <c r="O66" s="2475" t="s">
        <v>2528</v>
      </c>
      <c r="P66" s="2475"/>
      <c r="Q66" s="1236"/>
    </row>
    <row r="67" spans="1:36" ht="12.75">
      <c r="A67" s="53" t="s">
        <v>42</v>
      </c>
      <c r="B67" s="54" t="s">
        <v>1591</v>
      </c>
      <c r="C67" s="2708">
        <f ca="1">C63-C66</f>
        <v>545</v>
      </c>
      <c r="D67" s="50" t="s">
        <v>41</v>
      </c>
      <c r="E67" s="52"/>
      <c r="F67" s="2901"/>
      <c r="G67" s="2901"/>
      <c r="H67" s="2903"/>
      <c r="I67" s="31"/>
      <c r="K67" s="3511"/>
      <c r="L67" s="2476" t="s">
        <v>2529</v>
      </c>
      <c r="M67" s="2476">
        <f ca="1">IF(N49&gt;=10000,(8.25+(N49-10000)*0.01%),IF(AND(N49&gt;=8000,N49&lt;10000),(7.85+(N49-8000)*0.02%),IF(AND(N49&gt;=5000,N49&lt;8000),(6.65+(N49-5000)*0.04%),IF(AND(N49&gt;=2000,N49&lt;5000),(4.25+(PN49-2000)*0.08%),IF(AND(N49&gt;=1000,N49&lt;2000),(2.75+(N49-1000)*0.15%),IF(AND(N49&gt;=100,N49&lt;1000),(0.5+(N49-100)*0.25%),IF(AND(N49&gt;0,N49&lt;100),N49*0.5%)))))))</f>
        <v>1.68</v>
      </c>
      <c r="N67" s="2477">
        <f ca="1">ROUND(M67*0.9,1)</f>
        <v>1.5</v>
      </c>
      <c r="O67" s="2475"/>
      <c r="P67" s="2475"/>
      <c r="Q67" s="1236"/>
    </row>
    <row r="68" spans="1:36" ht="13.5" thickBot="1">
      <c r="A68" s="55" t="s">
        <v>46</v>
      </c>
      <c r="B68" s="56" t="s">
        <v>1593</v>
      </c>
      <c r="C68" s="2709">
        <f ca="1">IF(C67&lt;=0,0,ROUND(C67*D68,0))</f>
        <v>31</v>
      </c>
      <c r="D68" s="2170">
        <f>'数据-取费表'!E29</f>
        <v>5.6000000000000001E-2</v>
      </c>
      <c r="E68" s="57"/>
      <c r="F68" s="2901"/>
      <c r="G68" s="2901"/>
      <c r="H68" s="2903"/>
      <c r="I68" s="31"/>
      <c r="K68" s="3511"/>
      <c r="L68" s="2476" t="s">
        <v>2530</v>
      </c>
      <c r="M68" s="2476">
        <f ca="1">IF(N49&gt;10000,N49*0.5%,IF(AND(N49&gt;5000,N49&lt;=10000),N49*1%,IF(AND(N49&gt;1000,N49&lt;=5000),N49*2%,IF(AND(N49&gt;200,N49&lt;=1000),N49*3%,N49*5%))))</f>
        <v>17.16</v>
      </c>
      <c r="N68" s="2477">
        <f ca="1">ROUND(M68,1)</f>
        <v>17.2</v>
      </c>
      <c r="O68" s="2475"/>
      <c r="P68" s="2475"/>
      <c r="Q68" s="1236"/>
    </row>
    <row r="69" spans="1:36" s="1393" customFormat="1" ht="7.5" customHeight="1">
      <c r="A69" s="1405"/>
      <c r="B69" s="1406"/>
      <c r="C69" s="1407"/>
      <c r="D69" s="1408"/>
      <c r="E69" s="1409"/>
      <c r="F69" s="770"/>
      <c r="G69" s="770"/>
      <c r="H69" s="1398"/>
      <c r="I69" s="1389"/>
      <c r="J69" s="2761"/>
      <c r="K69" s="3511"/>
      <c r="L69" s="2476" t="s">
        <v>54</v>
      </c>
      <c r="M69" s="2476"/>
      <c r="N69" s="2477">
        <f ca="1">ROUND(SUM(N63:N68),0)</f>
        <v>43</v>
      </c>
      <c r="O69" s="2478">
        <f ca="1">N69/N49</f>
        <v>7.5174825174825169E-2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7" t="s">
        <v>1596</v>
      </c>
      <c r="B70" s="3488"/>
      <c r="C70" s="3488"/>
      <c r="D70" s="3488"/>
      <c r="E70" s="3488"/>
      <c r="F70" s="3488"/>
      <c r="G70" s="3488"/>
      <c r="H70" s="348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4" t="s">
        <v>1576</v>
      </c>
      <c r="B71" s="3485"/>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545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7" t="s">
        <v>1606</v>
      </c>
      <c r="F76" s="3465"/>
      <c r="G76" s="3465"/>
      <c r="H76" s="347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6.000000000000001E-3</v>
      </c>
      <c r="E78" s="3459" t="s">
        <v>1611</v>
      </c>
      <c r="F78" s="3460"/>
      <c r="G78" s="3460"/>
      <c r="H78" s="3461"/>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542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180.66666666666666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324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7" t="s">
        <v>1615</v>
      </c>
      <c r="B83" s="3488"/>
      <c r="C83" s="3488"/>
      <c r="D83" s="3488"/>
      <c r="E83" s="3488"/>
      <c r="F83" s="3488"/>
      <c r="G83" s="3488"/>
      <c r="H83" s="348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4" t="s">
        <v>1576</v>
      </c>
      <c r="B84" s="3485"/>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545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0" t="s">
        <v>2492</v>
      </c>
      <c r="H90" s="3520"/>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9" t="s">
        <v>1623</v>
      </c>
      <c r="F91" s="3460"/>
      <c r="G91" s="3460"/>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9" t="s">
        <v>1626</v>
      </c>
      <c r="F92" s="3460"/>
      <c r="G92" s="3460"/>
      <c r="H92" s="3461"/>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6.000000000000001E-3</v>
      </c>
      <c r="E93" s="3459" t="s">
        <v>1611</v>
      </c>
      <c r="F93" s="3460"/>
      <c r="G93" s="3460"/>
      <c r="H93" s="3461"/>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9" t="s">
        <v>1628</v>
      </c>
      <c r="F94" s="3460"/>
      <c r="G94" s="3460"/>
      <c r="H94" s="3461"/>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542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180.66666666666666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324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6" t="s">
        <v>1630</v>
      </c>
      <c r="B99" s="3507"/>
      <c r="C99" s="3507"/>
      <c r="D99" s="3508"/>
      <c r="E99" s="1389"/>
      <c r="F99" s="3515" t="s">
        <v>1631</v>
      </c>
      <c r="G99" s="3516"/>
      <c r="H99" s="3516"/>
      <c r="I99" s="3517"/>
      <c r="J99" s="2779"/>
    </row>
    <row r="100" spans="1:36" ht="15">
      <c r="A100" s="3518" t="s">
        <v>1632</v>
      </c>
      <c r="B100" s="3519"/>
      <c r="C100" s="1235" t="str">
        <f>C4</f>
        <v>比较法-办公</v>
      </c>
      <c r="D100" s="2727" t="str">
        <f>D4</f>
        <v>收益法</v>
      </c>
      <c r="E100" s="1389"/>
      <c r="F100" s="3430" t="s">
        <v>2536</v>
      </c>
      <c r="G100" s="3431"/>
      <c r="H100" s="3430" t="s">
        <v>2537</v>
      </c>
      <c r="I100" s="3429"/>
      <c r="J100" s="2780"/>
    </row>
    <row r="101" spans="1:36" ht="12.75">
      <c r="A101" s="3498" t="s">
        <v>2569</v>
      </c>
      <c r="B101" s="2235" t="str">
        <f>IF(H19="元","总价（元）","总价（万元）")</f>
        <v>总价（万元）</v>
      </c>
      <c r="C101" s="1235">
        <f ca="1">C19</f>
        <v>587</v>
      </c>
      <c r="D101" s="2727">
        <f ca="1">D19</f>
        <v>557</v>
      </c>
      <c r="E101" s="1389"/>
      <c r="F101" s="3430" t="str">
        <f>项目基本情况!I1</f>
        <v>北京市房地产</v>
      </c>
      <c r="G101" s="3431"/>
      <c r="H101" s="3428">
        <f>项目基本情况!C12</f>
        <v>176.29</v>
      </c>
      <c r="I101" s="3429"/>
      <c r="J101" s="2780"/>
    </row>
    <row r="102" spans="1:36" ht="12.75">
      <c r="A102" s="3498"/>
      <c r="B102" s="2235" t="s">
        <v>2570</v>
      </c>
      <c r="C102" s="2728">
        <f ca="1">C20</f>
        <v>33318</v>
      </c>
      <c r="D102" s="2729">
        <f ca="1">D20</f>
        <v>31618</v>
      </c>
      <c r="E102" s="1389"/>
      <c r="F102" s="3440" t="s">
        <v>2566</v>
      </c>
      <c r="G102" s="3441"/>
      <c r="H102" s="2737" t="str">
        <f>C106</f>
        <v>总价（万元）</v>
      </c>
      <c r="I102" s="2738">
        <f ca="1">H121</f>
        <v>572</v>
      </c>
      <c r="J102" s="2780"/>
    </row>
    <row r="103" spans="1:36" ht="12.75">
      <c r="A103" s="3498" t="s">
        <v>2571</v>
      </c>
      <c r="B103" s="2173" t="str">
        <f>B101</f>
        <v>总价（万元）</v>
      </c>
      <c r="C103" s="2732">
        <f ca="1">H121</f>
        <v>572</v>
      </c>
      <c r="D103" s="2730"/>
      <c r="E103" s="1389"/>
      <c r="F103" s="3440"/>
      <c r="G103" s="3441"/>
      <c r="H103" s="2737" t="s">
        <v>2539</v>
      </c>
      <c r="I103" s="52">
        <f ca="1">I121</f>
        <v>32447</v>
      </c>
      <c r="J103" s="2764"/>
    </row>
    <row r="104" spans="1:36" ht="13.5" thickBot="1">
      <c r="A104" s="3499"/>
      <c r="B104" s="2734" t="s">
        <v>2570</v>
      </c>
      <c r="C104" s="2735">
        <f ca="1">I121</f>
        <v>32447</v>
      </c>
      <c r="D104" s="2736"/>
      <c r="E104" s="1389"/>
      <c r="F104" s="3440"/>
      <c r="G104" s="3441"/>
      <c r="H104" s="3500"/>
      <c r="I104" s="3501"/>
      <c r="J104" s="2781"/>
    </row>
    <row r="105" spans="1:36" ht="15">
      <c r="A105" s="3506" t="s">
        <v>1633</v>
      </c>
      <c r="B105" s="3507"/>
      <c r="C105" s="3507"/>
      <c r="D105" s="3508"/>
      <c r="E105" s="1389"/>
      <c r="F105" s="3504" t="s">
        <v>2540</v>
      </c>
      <c r="G105" s="3505"/>
      <c r="H105" s="2739" t="str">
        <f>C108</f>
        <v>总额（万元）</v>
      </c>
      <c r="I105" s="2738">
        <f>SUMIF(I106:I108,"&lt;9E307")</f>
        <v>0</v>
      </c>
      <c r="J105" s="2780"/>
    </row>
    <row r="106" spans="1:36" ht="14.25">
      <c r="A106" s="3440" t="s">
        <v>2563</v>
      </c>
      <c r="B106" s="3441"/>
      <c r="C106" s="2737" t="str">
        <f>B101</f>
        <v>总价（万元）</v>
      </c>
      <c r="D106" s="2738">
        <f ca="1">H121</f>
        <v>572</v>
      </c>
      <c r="E106" s="1389"/>
      <c r="F106" s="3442" t="s">
        <v>2541</v>
      </c>
      <c r="G106" s="3443"/>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0"/>
      <c r="B107" s="3441"/>
      <c r="C107" s="2737" t="s">
        <v>2564</v>
      </c>
      <c r="D107" s="52">
        <f ca="1">I121</f>
        <v>32447</v>
      </c>
      <c r="E107" s="1389"/>
      <c r="F107" s="3442" t="s">
        <v>2542</v>
      </c>
      <c r="G107" s="3443"/>
      <c r="H107" s="2739" t="str">
        <f>C110</f>
        <v>总额（万元）</v>
      </c>
      <c r="I107" s="52">
        <f>C37</f>
        <v>0</v>
      </c>
      <c r="J107" s="2764"/>
    </row>
    <row r="108" spans="1:36" ht="12.75">
      <c r="A108" s="3447" t="s">
        <v>2540</v>
      </c>
      <c r="B108" s="3448"/>
      <c r="C108" s="2739" t="str">
        <f>IF(H19="元","总额（元）","总额（万元）")</f>
        <v>总额（万元）</v>
      </c>
      <c r="D108" s="2738">
        <f>IF(D36="正常操作",I106+I107+I108,I107+I108)</f>
        <v>0</v>
      </c>
      <c r="E108" s="1389"/>
      <c r="F108" s="3442" t="s">
        <v>2567</v>
      </c>
      <c r="G108" s="3443"/>
      <c r="H108" s="2739" t="str">
        <f>C111</f>
        <v>总额（万元）</v>
      </c>
      <c r="I108" s="52">
        <f>C38</f>
        <v>0</v>
      </c>
      <c r="J108" s="2764"/>
    </row>
    <row r="109" spans="1:36" ht="12.75">
      <c r="A109" s="3442" t="s">
        <v>2541</v>
      </c>
      <c r="B109" s="3443"/>
      <c r="C109" s="2739" t="str">
        <f>C108</f>
        <v>总额（万元）</v>
      </c>
      <c r="D109" s="52">
        <f>IF(D36="同一抵押权人同一抵押物续贷",C36&amp;"（未扣减，详见特别提示）",C36)</f>
        <v>0</v>
      </c>
      <c r="E109" s="1389"/>
      <c r="F109" s="3440"/>
      <c r="G109" s="3441"/>
      <c r="H109" s="3502"/>
      <c r="I109" s="3503"/>
      <c r="J109" s="2782"/>
    </row>
    <row r="110" spans="1:36" ht="28.5" customHeight="1">
      <c r="A110" s="3442" t="s">
        <v>2565</v>
      </c>
      <c r="B110" s="3443"/>
      <c r="C110" s="2739" t="str">
        <f>C108</f>
        <v>总额（万元）</v>
      </c>
      <c r="D110" s="52">
        <f>C37</f>
        <v>0</v>
      </c>
      <c r="E110" s="1389"/>
      <c r="F110" s="3432" t="str">
        <f>IF(项目基本情况!F5="已注销","——","3.房地产抵押价值")</f>
        <v>3.房地产抵押价值</v>
      </c>
      <c r="G110" s="3433"/>
      <c r="H110" s="2725" t="str">
        <f>C112</f>
        <v>总价（万元）</v>
      </c>
      <c r="I110" s="2738">
        <f ca="1">IF(F110="——","——",I102-I105)</f>
        <v>572</v>
      </c>
      <c r="J110" s="2780"/>
    </row>
    <row r="111" spans="1:36" ht="12.75">
      <c r="A111" s="3442" t="s">
        <v>2544</v>
      </c>
      <c r="B111" s="3443"/>
      <c r="C111" s="2739" t="str">
        <f>C108</f>
        <v>总额（万元）</v>
      </c>
      <c r="D111" s="52">
        <f>C38</f>
        <v>0</v>
      </c>
      <c r="E111" s="1389"/>
      <c r="F111" s="3531"/>
      <c r="G111" s="3532"/>
      <c r="H111" s="2737" t="s">
        <v>2539</v>
      </c>
      <c r="I111" s="2741">
        <f ca="1">D113</f>
        <v>32447</v>
      </c>
      <c r="J111" s="2783"/>
    </row>
    <row r="112" spans="1:36" ht="26.25" customHeight="1">
      <c r="A112" s="3440" t="str">
        <f>IF(项目基本情况!F5="已注销","——","3.房地产抵押价值")</f>
        <v>3.房地产抵押价值</v>
      </c>
      <c r="B112" s="3441"/>
      <c r="C112" s="2737" t="str">
        <f>B101</f>
        <v>总价（万元）</v>
      </c>
      <c r="D112" s="2738">
        <f ca="1">IF(A112="——","——",D106-D108)</f>
        <v>572</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0"/>
      <c r="B113" s="3441"/>
      <c r="C113" s="2737" t="s">
        <v>2532</v>
      </c>
      <c r="D113" s="52">
        <f ca="1">ROUND(IF(D112=D106,D107,IF(H19="元",D112/项目基本情况!C12,D112*10000/项目基本情况!C12)),0)</f>
        <v>32447</v>
      </c>
      <c r="E113" s="1389"/>
      <c r="F113" s="3531"/>
      <c r="G113" s="3532"/>
      <c r="H113" s="2737" t="s">
        <v>2568</v>
      </c>
      <c r="I113" s="52" t="str">
        <f>D115</f>
        <v>——</v>
      </c>
      <c r="J113" s="2764"/>
    </row>
    <row r="114" spans="1:16" ht="12.75">
      <c r="A114" s="3440" t="str">
        <f>IF(项目基本情况!F5="已注销及未注销","4.抵押担保权已注销时的房地产抵押价值",IF(项目基本情况!F5="已注销","3.抵押担保权已注销时的房地产抵押价值","——"))</f>
        <v>——</v>
      </c>
      <c r="B114" s="3441"/>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0"/>
      <c r="B115" s="3441"/>
      <c r="C115" s="2737" t="s">
        <v>2532</v>
      </c>
      <c r="D115" s="52" t="str">
        <f>IF(A114="——","——",ROUND(IF(D114=D106,D107,IF(H19="元",D114/项目基本情况!C12,D114*10000/项目基本情况!C12)),0))</f>
        <v>——</v>
      </c>
      <c r="E115" s="1389"/>
      <c r="F115" s="3434"/>
      <c r="G115" s="3435"/>
      <c r="H115" s="2742" t="s">
        <v>2532</v>
      </c>
      <c r="I115" s="2726" t="str">
        <f ca="1">D117</f>
        <v>——</v>
      </c>
      <c r="J115" s="2764"/>
    </row>
    <row r="116" spans="1:16" ht="15.75">
      <c r="A116" s="3440" t="str">
        <f>IF(项目基本情况!G5="抵押净值",IF(OR(项目基本情况!F5="已注销",项目基本情况!F5="房地产抵押价值"),"4.抵押净值","5.抵押净值"),"——")</f>
        <v>——</v>
      </c>
      <c r="B116" s="3441"/>
      <c r="C116" s="2737" t="str">
        <f>B101</f>
        <v>总价（万元）</v>
      </c>
      <c r="D116" s="2738" t="str">
        <f>IF(A116="——","——",O59)</f>
        <v>——</v>
      </c>
      <c r="E116" s="1389"/>
      <c r="F116" s="3526"/>
      <c r="G116" s="3526"/>
      <c r="H116" s="3490"/>
      <c r="I116" s="3490"/>
      <c r="J116" s="2784"/>
      <c r="O116" s="32"/>
      <c r="P116" s="32"/>
    </row>
    <row r="117" spans="1:16" ht="13.5" thickBot="1">
      <c r="A117" s="3445"/>
      <c r="B117" s="3446"/>
      <c r="C117" s="2742" t="s">
        <v>2532</v>
      </c>
      <c r="D117" s="2726" t="str">
        <f ca="1">IF(D116=D112,D113,IF(A116="——","——",O61))</f>
        <v>——</v>
      </c>
      <c r="E117" s="1389"/>
      <c r="F117" s="3424" t="str">
        <f>IF(B32="总价","（以上估价结果中单价为总价除以建筑面积得出）","（以上估价结果中总价为楼面单价乘以建筑面积得出）")</f>
        <v>（以上估价结果中单价为总价除以建筑面积得出）</v>
      </c>
      <c r="G117" s="3424"/>
      <c r="H117" s="3424"/>
      <c r="I117" s="3424"/>
      <c r="J117" s="2785"/>
      <c r="O117" s="32"/>
      <c r="P117" s="32"/>
    </row>
    <row r="118" spans="1:16" ht="15">
      <c r="A118" s="3491" t="s">
        <v>1634</v>
      </c>
      <c r="B118" s="3492"/>
      <c r="C118" s="3492"/>
      <c r="D118" s="3492"/>
      <c r="E118" s="3492"/>
      <c r="F118" s="3492"/>
      <c r="G118" s="3492"/>
      <c r="H118" s="3492"/>
      <c r="I118" s="3492"/>
      <c r="J118" s="2786"/>
    </row>
    <row r="119" spans="1:16" ht="12.75">
      <c r="A119" s="3425" t="s">
        <v>2550</v>
      </c>
      <c r="B119" s="3451" t="s">
        <v>2560</v>
      </c>
      <c r="C119" s="3451" t="s">
        <v>2561</v>
      </c>
      <c r="D119" s="3513" t="s">
        <v>2552</v>
      </c>
      <c r="E119" s="3514"/>
      <c r="F119" s="3426" t="s">
        <v>2562</v>
      </c>
      <c r="G119" s="3426"/>
      <c r="H119" s="3426" t="s">
        <v>2553</v>
      </c>
      <c r="I119" s="3512"/>
      <c r="J119" s="2764"/>
    </row>
    <row r="120" spans="1:16" ht="12.75">
      <c r="A120" s="3425"/>
      <c r="B120" s="3452"/>
      <c r="C120" s="3452"/>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176.29</v>
      </c>
      <c r="C121" s="2020">
        <f>项目基本情况!C13</f>
        <v>43.2</v>
      </c>
      <c r="D121" s="2020">
        <f ca="1">ROUND(IF(B32="总价",C34,IF('数据-取费表'!B3="万元",E121*B121/10000,E121*B121)),0)</f>
        <v>495</v>
      </c>
      <c r="E121" s="2020">
        <f ca="1">ROUND(IF(B32="楼面单价",C34,IF(H19="元",D121/B121,D121*10000/B121)),0)</f>
        <v>28079</v>
      </c>
      <c r="F121" s="2020">
        <f ca="1">ROUND(IF(B32="总价",C35,IF('数据-取费表'!B3="万元",G121*B121/10000,G121*B121)),0)</f>
        <v>77</v>
      </c>
      <c r="G121" s="2020">
        <f ca="1">ROUND(IF(B32="楼面单价",C35,IF(H19="元",F121/B121,F121*10000/B121)),0)</f>
        <v>4368</v>
      </c>
      <c r="H121" s="2020">
        <f ca="1">ROUND(IF(B32="总价",C32,IF('数据-取费表'!B3="万元",I121*B121/10000,I121*B121)),0)</f>
        <v>572</v>
      </c>
      <c r="I121" s="52">
        <f ca="1">ROUND(IF(B32="楼面单价",C32,IF(H19="元",H121/B121,H121*10000/B121)),0)</f>
        <v>32447</v>
      </c>
      <c r="J121" s="2764"/>
    </row>
    <row r="122" spans="1:16" ht="12.75">
      <c r="A122" s="3425" t="s">
        <v>2556</v>
      </c>
      <c r="B122" s="3426"/>
      <c r="C122" s="3426"/>
      <c r="D122" s="3453" t="str">
        <f ca="1">IF(H19="元",NUMBERSTRING(INT(D121),2)&amp;"元整",NUMBERSTRING(INT(D121*10000),2)&amp;"元整")</f>
        <v>肆佰玖拾伍万元整</v>
      </c>
      <c r="E122" s="3496"/>
      <c r="F122" s="3453" t="str">
        <f ca="1">IF(H19="元",NUMBERSTRING(INT(F121),2)&amp;"元整",NUMBERSTRING(INT(F121*10000),2)&amp;"元整")</f>
        <v>柒拾柒万元整</v>
      </c>
      <c r="G122" s="3496"/>
      <c r="H122" s="3453" t="str">
        <f ca="1">IF(H19="元",NUMBERSTRING(INT(H121),2)&amp;"元整",NUMBERSTRING(INT(H121*10000),2)&amp;"元整")</f>
        <v>伍佰柒拾贰万元整</v>
      </c>
      <c r="I122" s="3454"/>
      <c r="J122" s="2787"/>
    </row>
    <row r="123" spans="1:16" ht="12.75">
      <c r="A123" s="3430" t="str">
        <f>IF(项目基本情况!D5="房地产市场价值","——",MID(A108,3,LEN(A108)-2))</f>
        <v>估价师所知悉的法定优先受偿款</v>
      </c>
      <c r="B123" s="3436"/>
      <c r="C123" s="3431"/>
      <c r="D123" s="3428">
        <f>I105</f>
        <v>0</v>
      </c>
      <c r="E123" s="3436"/>
      <c r="F123" s="3436"/>
      <c r="G123" s="3436"/>
      <c r="H123" s="3436"/>
      <c r="I123" s="3429"/>
      <c r="J123" s="2780"/>
    </row>
    <row r="124" spans="1:16" ht="12.75">
      <c r="A124" s="3497" t="s">
        <v>2556</v>
      </c>
      <c r="B124" s="3465"/>
      <c r="C124" s="3466"/>
      <c r="D124" s="3437">
        <f>H109</f>
        <v>0</v>
      </c>
      <c r="E124" s="3438"/>
      <c r="F124" s="3438"/>
      <c r="G124" s="3438"/>
      <c r="H124" s="3438"/>
      <c r="I124" s="3439"/>
      <c r="J124" s="2788"/>
    </row>
    <row r="125" spans="1:16" ht="12.75">
      <c r="A125" s="3440" t="str">
        <f>IF(项目基本情况!D5="房地产市场价值","——",MID(A112,3,LEN(A112)-2))</f>
        <v>房地产抵押价值</v>
      </c>
      <c r="B125" s="3441"/>
      <c r="C125" s="3441"/>
      <c r="D125" s="3428">
        <f ca="1">I110</f>
        <v>572</v>
      </c>
      <c r="E125" s="3436"/>
      <c r="F125" s="3436"/>
      <c r="G125" s="3436"/>
      <c r="H125" s="3436"/>
      <c r="I125" s="3429"/>
      <c r="J125" s="2780"/>
    </row>
    <row r="126" spans="1:16" ht="12.75">
      <c r="A126" s="3425" t="s">
        <v>2556</v>
      </c>
      <c r="B126" s="3426"/>
      <c r="C126" s="3426"/>
      <c r="D126" s="3437">
        <f ca="1">I111</f>
        <v>32447</v>
      </c>
      <c r="E126" s="3438"/>
      <c r="F126" s="3438"/>
      <c r="G126" s="3438"/>
      <c r="H126" s="3438"/>
      <c r="I126" s="3439"/>
      <c r="J126" s="2788"/>
    </row>
    <row r="127" spans="1:16" ht="13.5" thickBot="1">
      <c r="A127" s="3440" t="str">
        <f>IF(项目基本情况!D5="房地产市场价值","——",MID(A114,3,LEN(A114)-2))</f>
        <v/>
      </c>
      <c r="B127" s="3441"/>
      <c r="C127" s="3441"/>
      <c r="D127" s="3473" t="str">
        <f>I112</f>
        <v>——</v>
      </c>
      <c r="E127" s="3474"/>
      <c r="F127" s="3474"/>
      <c r="G127" s="3474"/>
      <c r="H127" s="3474"/>
      <c r="I127" s="3525"/>
      <c r="J127" s="2780"/>
    </row>
    <row r="128" spans="1:16" ht="14.25" thickTop="1" thickBot="1">
      <c r="A128" s="3425" t="s">
        <v>2556</v>
      </c>
      <c r="B128" s="3426"/>
      <c r="C128" s="3427"/>
      <c r="D128" s="3489" t="str">
        <f>I113</f>
        <v>——</v>
      </c>
      <c r="E128" s="3489"/>
      <c r="F128" s="3489"/>
      <c r="G128" s="3489"/>
      <c r="H128" s="3489"/>
      <c r="I128" s="3489"/>
      <c r="J128" s="2788"/>
    </row>
    <row r="129" spans="1:10" ht="14.25" thickTop="1" thickBot="1">
      <c r="A129" s="3440" t="str">
        <f>IF(项目基本情况!D5="房地产市场价值","——",MID(F114,3,LEN(F114)-2))</f>
        <v/>
      </c>
      <c r="B129" s="3441"/>
      <c r="C129" s="3428"/>
      <c r="D129" s="3444" t="str">
        <f>I114</f>
        <v>——</v>
      </c>
      <c r="E129" s="3444"/>
      <c r="F129" s="3444"/>
      <c r="G129" s="3444"/>
      <c r="H129" s="3444"/>
      <c r="I129" s="3444"/>
      <c r="J129" s="2780"/>
    </row>
    <row r="130" spans="1:10" ht="14.25" thickTop="1" thickBot="1">
      <c r="A130" s="3449" t="s">
        <v>2556</v>
      </c>
      <c r="B130" s="3450"/>
      <c r="C130" s="3450"/>
      <c r="D130" s="3455">
        <f>H116</f>
        <v>0</v>
      </c>
      <c r="E130" s="3456"/>
      <c r="F130" s="3456"/>
      <c r="G130" s="3456"/>
      <c r="H130" s="3456"/>
      <c r="I130" s="3457"/>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3" t="str">
        <f>IF(B32="总价","（以上估价结果中楼面单价为总价除以建筑面积得出）","（以上估价结果中总价为楼面单价乘以建筑面积得出）")</f>
        <v>（以上估价结果中楼面单价为总价除以建筑面积得出）</v>
      </c>
      <c r="B132" s="3423"/>
      <c r="C132" s="3423"/>
      <c r="D132" s="3423"/>
      <c r="E132" s="3423"/>
      <c r="F132" s="3423"/>
      <c r="G132" s="3423"/>
      <c r="H132" s="3423"/>
      <c r="I132" s="3423"/>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O24" sqref="O24"/>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7" t="s">
        <v>1643</v>
      </c>
      <c r="B2" s="3557"/>
      <c r="C2" s="3557"/>
      <c r="D2" s="3557"/>
      <c r="E2" s="3557"/>
      <c r="F2" s="3557"/>
      <c r="G2" s="3557"/>
      <c r="H2" s="3557"/>
      <c r="I2" s="3557"/>
      <c r="J2" s="2793"/>
    </row>
    <row r="3" spans="1:15" ht="12.75">
      <c r="A3" s="3481" t="s">
        <v>1471</v>
      </c>
      <c r="B3" s="3482"/>
      <c r="C3" s="3482"/>
      <c r="D3" s="3482"/>
      <c r="E3" s="3482"/>
      <c r="F3" s="3482"/>
      <c r="G3" s="3482"/>
      <c r="H3" s="3482"/>
      <c r="I3" s="3482"/>
      <c r="J3" s="2763"/>
    </row>
    <row r="4" spans="1:15" ht="14.25">
      <c r="A4" s="2631" t="s">
        <v>1472</v>
      </c>
      <c r="B4" s="2631" t="s">
        <v>1473</v>
      </c>
      <c r="C4" s="2632" t="s">
        <v>3058</v>
      </c>
      <c r="D4" s="2632" t="s">
        <v>3059</v>
      </c>
      <c r="E4" s="3427" t="s">
        <v>1644</v>
      </c>
      <c r="F4" s="3465"/>
      <c r="G4" s="3465"/>
      <c r="H4" s="3465"/>
      <c r="I4" s="3466"/>
      <c r="J4" s="2764"/>
      <c r="L4" s="1389" t="str">
        <f>IF(ISNUMBER(FIND("比较法",'结果表 (1修多)'!C4)),"比较法",IF(ISNUMBER(FIND("成本法",'结果表 (1修多)'!C4)),"成本法",IF(ISNUMBER(FIND("假设开发法",'结果表 (1修多)'!C4)),"假设开发法",IF(ISNUMBER(FIND("收益法",'结果表 (1修多)'!C4)),"收益法","基准地价系数修正法"))))</f>
        <v>比较法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458" t="s">
        <v>1475</v>
      </c>
      <c r="B5" s="3458">
        <v>25</v>
      </c>
      <c r="C5" s="3467"/>
      <c r="D5" s="3480"/>
      <c r="E5" s="12" t="s">
        <v>1476</v>
      </c>
      <c r="F5" s="2017"/>
      <c r="G5" s="2017"/>
      <c r="H5" s="2017"/>
      <c r="I5" s="2012"/>
      <c r="J5" s="2764"/>
    </row>
    <row r="6" spans="1:15" ht="12.75">
      <c r="A6" s="3458"/>
      <c r="B6" s="3458"/>
      <c r="C6" s="3483"/>
      <c r="D6" s="3480"/>
      <c r="E6" s="12" t="s">
        <v>1477</v>
      </c>
      <c r="F6" s="2017"/>
      <c r="G6" s="2017"/>
      <c r="H6" s="2017"/>
      <c r="I6" s="2012"/>
      <c r="J6" s="2764"/>
    </row>
    <row r="7" spans="1:15" ht="12.75">
      <c r="A7" s="3458"/>
      <c r="B7" s="3458"/>
      <c r="C7" s="3468"/>
      <c r="D7" s="3480"/>
      <c r="E7" s="12" t="s">
        <v>1478</v>
      </c>
      <c r="F7" s="2017"/>
      <c r="G7" s="2017"/>
      <c r="H7" s="2017"/>
      <c r="I7" s="2012"/>
      <c r="J7" s="2764"/>
    </row>
    <row r="8" spans="1:15" ht="12.75">
      <c r="A8" s="3458" t="s">
        <v>1479</v>
      </c>
      <c r="B8" s="3458">
        <v>15</v>
      </c>
      <c r="C8" s="3467"/>
      <c r="D8" s="3480"/>
      <c r="E8" s="12" t="s">
        <v>1480</v>
      </c>
      <c r="F8" s="2017"/>
      <c r="G8" s="2017"/>
      <c r="H8" s="2017"/>
      <c r="I8" s="2012"/>
      <c r="J8" s="2764"/>
    </row>
    <row r="9" spans="1:15" ht="12.75">
      <c r="A9" s="3458"/>
      <c r="B9" s="3458"/>
      <c r="C9" s="3468"/>
      <c r="D9" s="3480"/>
      <c r="E9" s="12" t="s">
        <v>1481</v>
      </c>
      <c r="F9" s="2017"/>
      <c r="G9" s="2017"/>
      <c r="H9" s="2017"/>
      <c r="I9" s="2012"/>
      <c r="J9" s="2764"/>
    </row>
    <row r="10" spans="1:15" ht="12.75">
      <c r="A10" s="3458" t="s">
        <v>1482</v>
      </c>
      <c r="B10" s="3458">
        <v>15</v>
      </c>
      <c r="C10" s="3467"/>
      <c r="D10" s="3480"/>
      <c r="E10" s="12" t="s">
        <v>1483</v>
      </c>
      <c r="F10" s="2017"/>
      <c r="G10" s="2017"/>
      <c r="H10" s="2017"/>
      <c r="I10" s="2012"/>
      <c r="J10" s="2764"/>
    </row>
    <row r="11" spans="1:15" ht="12.75">
      <c r="A11" s="3458"/>
      <c r="B11" s="3458"/>
      <c r="C11" s="3468"/>
      <c r="D11" s="3480"/>
      <c r="E11" s="12" t="s">
        <v>1484</v>
      </c>
      <c r="F11" s="2017"/>
      <c r="G11" s="2017"/>
      <c r="H11" s="2017"/>
      <c r="I11" s="2012"/>
      <c r="J11" s="2764"/>
    </row>
    <row r="12" spans="1:15" ht="12.75">
      <c r="A12" s="3458" t="s">
        <v>1485</v>
      </c>
      <c r="B12" s="3458">
        <v>15</v>
      </c>
      <c r="C12" s="3467"/>
      <c r="D12" s="3480"/>
      <c r="E12" s="12" t="s">
        <v>1486</v>
      </c>
      <c r="F12" s="2017"/>
      <c r="G12" s="2017"/>
      <c r="H12" s="2017"/>
      <c r="I12" s="2012"/>
      <c r="J12" s="2764"/>
    </row>
    <row r="13" spans="1:15" ht="12.75">
      <c r="A13" s="3458"/>
      <c r="B13" s="3458"/>
      <c r="C13" s="3468"/>
      <c r="D13" s="3480"/>
      <c r="E13" s="12" t="s">
        <v>1487</v>
      </c>
      <c r="F13" s="2017"/>
      <c r="G13" s="2017"/>
      <c r="H13" s="2017"/>
      <c r="I13" s="2012"/>
      <c r="J13" s="2764"/>
    </row>
    <row r="14" spans="1:15" ht="12.75">
      <c r="A14" s="3458" t="s">
        <v>1488</v>
      </c>
      <c r="B14" s="3458">
        <v>30</v>
      </c>
      <c r="C14" s="3467">
        <v>5</v>
      </c>
      <c r="D14" s="3480">
        <v>5</v>
      </c>
      <c r="E14" s="12" t="s">
        <v>1489</v>
      </c>
      <c r="F14" s="2017"/>
      <c r="G14" s="2017"/>
      <c r="H14" s="2017"/>
      <c r="I14" s="2012"/>
      <c r="J14" s="2764"/>
    </row>
    <row r="15" spans="1:15" ht="12.75">
      <c r="A15" s="3458"/>
      <c r="B15" s="3458"/>
      <c r="C15" s="3483"/>
      <c r="D15" s="3480"/>
      <c r="E15" s="12" t="s">
        <v>1490</v>
      </c>
      <c r="F15" s="2017"/>
      <c r="G15" s="2017"/>
      <c r="H15" s="2017"/>
      <c r="I15" s="2012"/>
      <c r="J15" s="2764"/>
    </row>
    <row r="16" spans="1:15" ht="12.75">
      <c r="A16" s="3458"/>
      <c r="B16" s="3458"/>
      <c r="C16" s="3468"/>
      <c r="D16" s="3480"/>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2.450000000000003" customHeight="1" thickBot="1">
      <c r="A18" s="2635" t="s">
        <v>1493</v>
      </c>
      <c r="B18" s="2636"/>
      <c r="C18" s="2637">
        <f>ROUND(C17/SUM(C17:D17),2)</f>
        <v>0.5</v>
      </c>
      <c r="D18" s="2637">
        <f>1-C18</f>
        <v>0.5</v>
      </c>
      <c r="E18" s="3476" t="s">
        <v>2575</v>
      </c>
      <c r="F18" s="3477"/>
      <c r="G18" s="3477"/>
      <c r="H18" s="3477"/>
      <c r="I18" s="3477"/>
      <c r="J18" s="2765"/>
    </row>
    <row r="19" spans="1:36" ht="15">
      <c r="A19" s="2638" t="s">
        <v>1494</v>
      </c>
      <c r="B19" s="2639" t="s">
        <v>1495</v>
      </c>
      <c r="C19" s="2640">
        <f ca="1">SUMIF(INDIRECT("'"&amp;C4&amp;"'"&amp;"!A:A"),'结果表 (1修多)'!B19,INDIRECT("'"&amp;C4&amp;"'"&amp;"!B:B"))</f>
        <v>587</v>
      </c>
      <c r="D19" s="2641">
        <f ca="1">SUMIF(INDIRECT("'"&amp;D4&amp;"'"&amp;"!A:A"),'结果表 (1修多)'!B19,INDIRECT("'"&amp;D4&amp;"'"&amp;"!B:B"))</f>
        <v>557</v>
      </c>
      <c r="E19" s="2638" t="s">
        <v>1496</v>
      </c>
      <c r="F19" s="2639" t="s">
        <v>1495</v>
      </c>
      <c r="G19" s="2642">
        <f ca="1">ROUND(C19*$C$18+D19*$D$18,0)</f>
        <v>572</v>
      </c>
      <c r="H19" s="2643" t="str">
        <f>'数据-取费表'!B3</f>
        <v>万元</v>
      </c>
      <c r="I19" s="2481"/>
      <c r="J19" s="2765"/>
    </row>
    <row r="20" spans="1:36" ht="15">
      <c r="A20" s="2644"/>
      <c r="B20" s="1622" t="s">
        <v>1497</v>
      </c>
      <c r="C20" s="1847">
        <f ca="1">SUMIF(INDIRECT("'"&amp;C4&amp;"'"&amp;"!A:A"),'结果表 (1修多)'!B20,INDIRECT("'"&amp;C4&amp;"'"&amp;"!B:B"))</f>
        <v>33318</v>
      </c>
      <c r="D20" s="1850">
        <f ca="1">SUMIF(INDIRECT("'"&amp;D4&amp;"'"&amp;"!A:A"),'结果表 (1修多)'!B20,INDIRECT("'"&amp;D4&amp;"'"&amp;"!B:B"))</f>
        <v>31618</v>
      </c>
      <c r="E20" s="2644"/>
      <c r="F20" s="1622" t="s">
        <v>1497</v>
      </c>
      <c r="G20" s="2021">
        <f ca="1">ROUND(C20*$C$18+D20*$D$18,0)</f>
        <v>32468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5.3859964093357249E-2</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9" t="s">
        <v>1500</v>
      </c>
      <c r="B24" s="2639" t="s">
        <v>1495</v>
      </c>
      <c r="C24" s="2642">
        <f>D30</f>
        <v>0</v>
      </c>
      <c r="D24" s="2594"/>
      <c r="E24" s="905"/>
      <c r="F24" s="905"/>
      <c r="G24" s="905"/>
      <c r="H24" s="905"/>
      <c r="I24" s="905"/>
      <c r="J24" s="2765"/>
    </row>
    <row r="25" spans="1:36" ht="21.75" customHeight="1">
      <c r="A25" s="3486"/>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4" t="s">
        <v>1647</v>
      </c>
      <c r="B32" s="3534"/>
      <c r="C32" s="3534"/>
      <c r="D32" s="3534"/>
      <c r="E32" s="3534"/>
      <c r="F32" s="3534"/>
      <c r="G32" s="3534"/>
      <c r="H32" s="3534"/>
      <c r="I32" s="353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 ca="1">典型户型修正!R27</f>
        <v>32468</v>
      </c>
      <c r="D33" s="2481" t="s">
        <v>1649</v>
      </c>
      <c r="E33" s="905"/>
      <c r="F33" s="905"/>
      <c r="G33" s="905"/>
      <c r="H33" s="905"/>
      <c r="I33" s="905"/>
      <c r="J33" s="2765"/>
    </row>
    <row r="34" spans="1:16" ht="15">
      <c r="A34" s="1440" t="s">
        <v>1650</v>
      </c>
      <c r="B34" s="2696" t="s">
        <v>1651</v>
      </c>
      <c r="C34" s="2697">
        <f ca="1">典型户型修正!B2</f>
        <v>286</v>
      </c>
      <c r="D34" s="2698" t="str">
        <f>IF('数据-取费表'!B3="万元","万元","元")</f>
        <v>万元</v>
      </c>
      <c r="E34" s="905"/>
      <c r="F34" s="905"/>
      <c r="G34" s="905"/>
      <c r="H34" s="905"/>
      <c r="I34" s="905"/>
      <c r="J34" s="2765"/>
    </row>
    <row r="35" spans="1:16" ht="15.75" thickBot="1">
      <c r="A35" s="1441"/>
      <c r="B35" s="2699" t="s">
        <v>1652</v>
      </c>
      <c r="C35" s="2648">
        <f ca="1">典型户型修正!B3</f>
        <v>32445</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9" t="s">
        <v>1656</v>
      </c>
      <c r="B38" s="1396" t="s">
        <v>1657</v>
      </c>
      <c r="C38" s="2675"/>
      <c r="D38" s="2676"/>
      <c r="E38" s="1608"/>
      <c r="F38" s="1608"/>
      <c r="G38" s="905"/>
      <c r="H38" s="905"/>
      <c r="I38" s="905"/>
      <c r="J38" s="2765"/>
    </row>
    <row r="39" spans="1:16" ht="15.75" thickBot="1">
      <c r="A39" s="3470"/>
      <c r="B39" s="2022" t="s">
        <v>1658</v>
      </c>
      <c r="C39" s="2677"/>
      <c r="D39" s="1239"/>
      <c r="E39" s="1239"/>
      <c r="F39" s="1608"/>
      <c r="G39" s="1239"/>
      <c r="H39" s="1239"/>
      <c r="I39" s="1239"/>
      <c r="J39" s="2769"/>
    </row>
    <row r="40" spans="1:16" ht="15.75" thickBot="1">
      <c r="A40" s="3471"/>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3" t="s">
        <v>1669</v>
      </c>
      <c r="B47" s="3474"/>
      <c r="C47" s="3433"/>
      <c r="D47" s="246">
        <f ca="1">ROUND(I104*F47,0)</f>
        <v>286</v>
      </c>
      <c r="E47" s="1470" t="s">
        <v>1670</v>
      </c>
      <c r="F47" s="2479">
        <v>1</v>
      </c>
      <c r="G47" s="2480" t="s">
        <v>1671</v>
      </c>
      <c r="H47" s="905"/>
      <c r="I47" s="905"/>
      <c r="J47" s="2765"/>
      <c r="K47" s="3559" t="s">
        <v>1527</v>
      </c>
      <c r="L47" s="3559"/>
      <c r="M47" s="3559"/>
      <c r="N47" s="3559"/>
      <c r="O47" s="3559"/>
      <c r="P47" s="3559"/>
    </row>
    <row r="48" spans="1:16" ht="14.25" customHeight="1">
      <c r="A48" s="3462" t="s">
        <v>1528</v>
      </c>
      <c r="B48" s="3463"/>
      <c r="C48" s="3463"/>
      <c r="D48" s="3463"/>
      <c r="E48" s="3463"/>
      <c r="F48" s="3463"/>
      <c r="G48" s="3464"/>
      <c r="H48" s="2897"/>
      <c r="I48" s="905"/>
      <c r="J48" s="2765"/>
      <c r="K48" s="2431">
        <v>1</v>
      </c>
      <c r="L48" s="3554" t="s">
        <v>1529</v>
      </c>
      <c r="M48" s="3554"/>
      <c r="N48" s="3560"/>
      <c r="O48" s="3560"/>
      <c r="P48" s="3560"/>
    </row>
    <row r="49" spans="1:17" ht="12" customHeight="1">
      <c r="A49" s="38" t="s">
        <v>1530</v>
      </c>
      <c r="B49" s="39"/>
      <c r="C49" s="40"/>
      <c r="D49" s="1028" t="s">
        <v>1531</v>
      </c>
      <c r="E49" s="235" t="s">
        <v>1532</v>
      </c>
      <c r="F49" s="41" t="s">
        <v>1533</v>
      </c>
      <c r="G49" s="2482" t="s">
        <v>1534</v>
      </c>
      <c r="H49" s="2897"/>
      <c r="I49" s="905"/>
      <c r="J49" s="2765"/>
      <c r="K49" s="2431">
        <v>2</v>
      </c>
      <c r="L49" s="3554" t="s">
        <v>1535</v>
      </c>
      <c r="M49" s="3554"/>
      <c r="N49" s="3561">
        <f>'数据-取费表'!B2</f>
        <v>44676</v>
      </c>
      <c r="O49" s="3561"/>
      <c r="P49" s="3561"/>
    </row>
    <row r="50" spans="1:17" ht="25.5">
      <c r="A50" s="3472" t="s">
        <v>1536</v>
      </c>
      <c r="B50" s="3426"/>
      <c r="C50" s="3426"/>
      <c r="D50" s="12">
        <f ca="1">IF(H50="情况1",0,IF(H50="情况2",D54,IF(H50="情况3",D55,IF(H50="情况4",D56))))</f>
        <v>15</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4" t="s">
        <v>1539</v>
      </c>
      <c r="M50" s="3554"/>
      <c r="N50" s="3555">
        <f ca="1">I104</f>
        <v>286</v>
      </c>
      <c r="O50" s="3555"/>
      <c r="P50" s="3555"/>
    </row>
    <row r="51" spans="1:17" ht="25.5" customHeight="1">
      <c r="A51" s="2019" t="s">
        <v>1540</v>
      </c>
      <c r="B51" s="3465" t="s">
        <v>1541</v>
      </c>
      <c r="C51" s="3465"/>
      <c r="D51" s="2486">
        <v>0</v>
      </c>
      <c r="E51" s="261" t="s">
        <v>1542</v>
      </c>
      <c r="F51" s="2487" t="s">
        <v>48</v>
      </c>
      <c r="G51" s="3522"/>
      <c r="H51" s="2488" t="s">
        <v>2499</v>
      </c>
      <c r="I51" s="2489"/>
      <c r="J51" s="2773"/>
      <c r="K51" s="2431">
        <v>4</v>
      </c>
      <c r="L51" s="3554" t="str">
        <f>IF(项目基本情况!F5="房地产抵押价值","房地产抵押价值","抵押担保权已注销时的房地产抵押价值")</f>
        <v>房地产抵押价值</v>
      </c>
      <c r="M51" s="3554"/>
      <c r="N51" s="3555">
        <f ca="1">IF(项目基本情况!F5="房地产抵押价值",I112,I114)</f>
        <v>286</v>
      </c>
      <c r="O51" s="3555"/>
      <c r="P51" s="3555"/>
    </row>
    <row r="52" spans="1:17" ht="25.5" customHeight="1">
      <c r="A52" s="2009"/>
      <c r="B52" s="3465" t="s">
        <v>1543</v>
      </c>
      <c r="C52" s="3465"/>
      <c r="D52" s="2490"/>
      <c r="E52" s="269"/>
      <c r="F52" s="2487"/>
      <c r="G52" s="3523"/>
      <c r="H52" s="2491" t="s">
        <v>2500</v>
      </c>
      <c r="I52" s="2489"/>
      <c r="J52" s="2773"/>
      <c r="K52" s="3554" t="s">
        <v>1544</v>
      </c>
      <c r="L52" s="3554"/>
      <c r="M52" s="3554"/>
      <c r="N52" s="3554"/>
      <c r="O52" s="3554"/>
      <c r="P52" s="3554"/>
    </row>
    <row r="53" spans="1:17" ht="20.45" customHeight="1">
      <c r="A53" s="2492"/>
      <c r="B53" s="3465" t="s">
        <v>1545</v>
      </c>
      <c r="C53" s="3465"/>
      <c r="D53" s="1028"/>
      <c r="E53" s="264"/>
      <c r="F53" s="2487"/>
      <c r="G53" s="3524"/>
      <c r="H53" s="2491" t="s">
        <v>2501</v>
      </c>
      <c r="I53" s="2489"/>
      <c r="J53" s="2773"/>
      <c r="K53" s="2432" t="s">
        <v>1546</v>
      </c>
      <c r="L53" s="3554" t="s">
        <v>1547</v>
      </c>
      <c r="M53" s="3554"/>
      <c r="N53" s="2432" t="s">
        <v>1548</v>
      </c>
      <c r="O53" s="2432" t="s">
        <v>1549</v>
      </c>
      <c r="P53" s="2432" t="s">
        <v>1550</v>
      </c>
    </row>
    <row r="54" spans="1:17" ht="24" customHeight="1">
      <c r="A54" s="2010" t="s">
        <v>1551</v>
      </c>
      <c r="B54" s="3465" t="s">
        <v>1552</v>
      </c>
      <c r="C54" s="3465"/>
      <c r="D54" s="1028">
        <f ca="1">ROUND(D47*'数据-取费表'!E29/(1+'数据-取费表'!F30),0)</f>
        <v>15</v>
      </c>
      <c r="E54" s="2020" t="s">
        <v>1553</v>
      </c>
      <c r="F54" s="2493">
        <f>'数据-取费表'!E29</f>
        <v>5.6000000000000001E-2</v>
      </c>
      <c r="G54" s="2494"/>
      <c r="H54" s="905"/>
      <c r="I54" s="2898"/>
      <c r="J54" s="2773"/>
      <c r="K54" s="2431">
        <v>1</v>
      </c>
      <c r="L54" s="3550" t="s">
        <v>1554</v>
      </c>
      <c r="M54" s="3550"/>
      <c r="N54" s="2433">
        <f ca="1">D50</f>
        <v>15</v>
      </c>
      <c r="O54" s="2431" t="str">
        <f>E50</f>
        <v>销售额×税（费）率</v>
      </c>
      <c r="P54" s="2434">
        <f>F50</f>
        <v>5.6000000000000001E-2</v>
      </c>
    </row>
    <row r="55" spans="1:17" ht="12" customHeight="1">
      <c r="A55" s="2010" t="s">
        <v>1555</v>
      </c>
      <c r="B55" s="3427" t="s">
        <v>2592</v>
      </c>
      <c r="C55" s="3466"/>
      <c r="D55" s="1028">
        <f ca="1">ROUND(D47*'数据-取费表'!E29/(1+'数据-取费表'!F30),0)</f>
        <v>15</v>
      </c>
      <c r="E55" s="2020" t="s">
        <v>1553</v>
      </c>
      <c r="F55" s="2493">
        <f>'数据-取费表'!E29</f>
        <v>5.6000000000000001E-2</v>
      </c>
      <c r="G55" s="2494"/>
      <c r="H55" s="905"/>
      <c r="I55" s="2898"/>
      <c r="J55" s="2773"/>
      <c r="K55" s="2431">
        <v>2</v>
      </c>
      <c r="L55" s="3550" t="s">
        <v>1556</v>
      </c>
      <c r="M55" s="3550"/>
      <c r="N55" s="2433">
        <f t="shared" ref="N55:P56" ca="1" si="1">D57</f>
        <v>0</v>
      </c>
      <c r="O55" s="2431" t="str">
        <f t="shared" si="1"/>
        <v>销售额×税（费）率</v>
      </c>
      <c r="P55" s="2434">
        <f t="shared" si="1"/>
        <v>5.0000000000000001E-4</v>
      </c>
    </row>
    <row r="56" spans="1:17" ht="12" customHeight="1">
      <c r="A56" s="2010" t="s">
        <v>1557</v>
      </c>
      <c r="B56" s="3427" t="s">
        <v>2593</v>
      </c>
      <c r="C56" s="3466"/>
      <c r="D56" s="1028">
        <f ca="1">C70</f>
        <v>15</v>
      </c>
      <c r="E56" s="264" t="s">
        <v>1558</v>
      </c>
      <c r="F56" s="2493">
        <f>'数据-取费表'!E29</f>
        <v>5.6000000000000001E-2</v>
      </c>
      <c r="G56" s="2494"/>
      <c r="H56" s="2899"/>
      <c r="I56" s="2898"/>
      <c r="J56" s="2773"/>
      <c r="K56" s="2431">
        <v>3</v>
      </c>
      <c r="L56" s="3550" t="s">
        <v>1559</v>
      </c>
      <c r="M56" s="3550"/>
      <c r="N56" s="2433">
        <f t="shared" ca="1" si="1"/>
        <v>161</v>
      </c>
      <c r="O56" s="2431" t="str">
        <f t="shared" si="1"/>
        <v>增值额×税（费）率</v>
      </c>
      <c r="P56" s="2435" t="str">
        <f t="shared" si="1"/>
        <v>——</v>
      </c>
    </row>
    <row r="57" spans="1:17" ht="24" customHeight="1">
      <c r="A57" s="3425" t="s">
        <v>1560</v>
      </c>
      <c r="B57" s="3426"/>
      <c r="C57" s="3426"/>
      <c r="D57" s="12">
        <f ca="1">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0" t="str">
        <f>IF(H61="非个人房产","——","个人所得税")</f>
        <v>个人所得税</v>
      </c>
      <c r="M57" s="3550"/>
      <c r="N57" s="2436">
        <f ca="1">D61</f>
        <v>3</v>
      </c>
      <c r="O57" s="2437" t="str">
        <f>E61</f>
        <v>销售额×税（费）率</v>
      </c>
      <c r="P57" s="2438">
        <f>F61</f>
        <v>0.01</v>
      </c>
    </row>
    <row r="58" spans="1:17" ht="24.75">
      <c r="A58" s="3425" t="s">
        <v>1563</v>
      </c>
      <c r="B58" s="3426"/>
      <c r="C58" s="3426"/>
      <c r="D58" s="12">
        <f ca="1">IF(H58="个人住宅",D59,D60)</f>
        <v>161</v>
      </c>
      <c r="E58" s="2020" t="s">
        <v>1564</v>
      </c>
      <c r="F58" s="2493" t="str">
        <f>IF(H58="正常",F60,"免征")</f>
        <v>——</v>
      </c>
      <c r="G58" s="2495" t="s">
        <v>1565</v>
      </c>
      <c r="H58" s="2496" t="s">
        <v>1562</v>
      </c>
      <c r="I58" s="2900"/>
      <c r="J58" s="2773"/>
      <c r="K58" s="2431" t="str">
        <f>IF(项目基本情况!I6="上海银行",IF(K57="",4,K57+1),"")</f>
        <v/>
      </c>
      <c r="L58" s="3552" t="str">
        <f>IF(项目基本情况!I6="上海银行","其他处置费用","")</f>
        <v/>
      </c>
      <c r="M58" s="3553"/>
      <c r="N58" s="2433" t="str">
        <f>IF(项目基本情况!I6="上海银行",N71,"")</f>
        <v/>
      </c>
      <c r="O58" s="3552" t="str">
        <f>IF(项目基本情况!I6="上海银行","包含处置中涉及的律师、诉讼、拍卖、评估等费用","")</f>
        <v/>
      </c>
      <c r="P58" s="3556"/>
    </row>
    <row r="59" spans="1:17" ht="12.75">
      <c r="A59" s="2010" t="s">
        <v>1540</v>
      </c>
      <c r="B59" s="3427" t="s">
        <v>1566</v>
      </c>
      <c r="C59" s="3466"/>
      <c r="D59" s="2486">
        <v>0</v>
      </c>
      <c r="E59" s="261" t="s">
        <v>1542</v>
      </c>
      <c r="F59" s="235"/>
      <c r="G59" s="2494"/>
      <c r="H59" s="2900"/>
      <c r="I59" s="2900"/>
      <c r="J59" s="2773"/>
      <c r="K59" s="3550">
        <f>IF(AND(K57="",K58=""),4,IF(项目基本情况!I6="上海银行",K58+1,K57+1))</f>
        <v>5</v>
      </c>
      <c r="L59" s="3550" t="s">
        <v>1567</v>
      </c>
      <c r="M59" s="2439" t="s">
        <v>1568</v>
      </c>
      <c r="N59" s="2440"/>
      <c r="O59" s="2441">
        <f ca="1">SUMIF(N54:N58,"&lt;9e307")</f>
        <v>179</v>
      </c>
      <c r="P59" s="2442"/>
      <c r="Q59" s="1234">
        <f ca="1">O59/N51</f>
        <v>0.62587412587412583</v>
      </c>
    </row>
    <row r="60" spans="1:17" ht="24.75">
      <c r="A60" s="2010" t="s">
        <v>1551</v>
      </c>
      <c r="B60" s="3427" t="s">
        <v>1569</v>
      </c>
      <c r="C60" s="3465"/>
      <c r="D60" s="12">
        <f ca="1">IF(H60="转让取得",C83,C99)</f>
        <v>161</v>
      </c>
      <c r="E60" s="2020" t="s">
        <v>1564</v>
      </c>
      <c r="F60" s="235" t="s">
        <v>48</v>
      </c>
      <c r="G60" s="2494"/>
      <c r="H60" s="2496" t="s">
        <v>1570</v>
      </c>
      <c r="I60" s="2900"/>
      <c r="J60" s="2773"/>
      <c r="K60" s="3550"/>
      <c r="L60" s="3550"/>
      <c r="M60" s="2439" t="s">
        <v>1571</v>
      </c>
      <c r="N60" s="2443"/>
      <c r="O60" s="2444" t="str">
        <f ca="1">IF(H19="元",NUMBERSTRING(INT(O59),2)&amp;"元整",NUMBERSTRING(INT(O59*10000),2)&amp;"元整")</f>
        <v>壹佰柒拾玖万元整</v>
      </c>
      <c r="P60" s="2445"/>
    </row>
    <row r="61" spans="1:17" ht="26.25" thickBot="1">
      <c r="A61" s="3449" t="s">
        <v>1572</v>
      </c>
      <c r="B61" s="3450"/>
      <c r="C61" s="3450"/>
      <c r="D61" s="69">
        <f ca="1">IF(H61="非个人房产","——",IF(H61="个人住宅（满五唯一有凭证）",0,IF(H61="个人其他（无凭证）",ROUND(D47*F61,0),ROUND(C69*F61,0))))</f>
        <v>3</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8">
        <f>K59+1</f>
        <v>6</v>
      </c>
      <c r="L61" s="3550" t="s">
        <v>1573</v>
      </c>
      <c r="M61" s="2431" t="s">
        <v>1568</v>
      </c>
      <c r="N61" s="2446"/>
      <c r="O61" s="2447">
        <f ca="1">N51-O59</f>
        <v>107</v>
      </c>
      <c r="P61" s="2448"/>
    </row>
    <row r="62" spans="1:17" ht="12" customHeight="1">
      <c r="A62" s="1385"/>
      <c r="B62" s="2481"/>
      <c r="C62" s="2481"/>
      <c r="D62" s="2481"/>
      <c r="E62" s="1385"/>
      <c r="F62" s="2900"/>
      <c r="G62" s="2900"/>
      <c r="H62" s="2895"/>
      <c r="I62" s="905"/>
      <c r="J62" s="2773"/>
      <c r="K62" s="3549"/>
      <c r="L62" s="3550"/>
      <c r="M62" s="2439" t="s">
        <v>1571</v>
      </c>
      <c r="N62" s="2443"/>
      <c r="O62" s="2444" t="str">
        <f ca="1">IF(H19="元",NUMBERSTRING(INT(O61),2)&amp;"元整",NUMBERSTRING(INT(O61*10000),2)&amp;"元整")</f>
        <v>壹佰零柒万元整</v>
      </c>
      <c r="P62" s="2445"/>
    </row>
    <row r="63" spans="1:17" ht="13.5" thickBot="1">
      <c r="A63" s="3551" t="s">
        <v>1574</v>
      </c>
      <c r="B63" s="3551"/>
      <c r="C63" s="3551"/>
      <c r="D63" s="3551"/>
      <c r="E63" s="3551"/>
      <c r="F63" s="2900"/>
      <c r="G63" s="2900"/>
      <c r="H63" s="2895"/>
      <c r="I63" s="905"/>
      <c r="J63" s="2765"/>
      <c r="K63" s="2431">
        <f>K61+1</f>
        <v>7</v>
      </c>
      <c r="L63" s="3550" t="s">
        <v>1575</v>
      </c>
      <c r="M63" s="3550"/>
      <c r="N63" s="2449"/>
      <c r="O63" s="2450">
        <f ca="1">IF(H19="元",ROUND(O61/项目基本情况!C12,0),ROUND(O61*10000/项目基本情况!C12,0))</f>
        <v>6070</v>
      </c>
      <c r="P63" s="2451"/>
    </row>
    <row r="64" spans="1:17" ht="12.75">
      <c r="A64" s="3484" t="s">
        <v>1576</v>
      </c>
      <c r="B64" s="3485"/>
      <c r="C64" s="1535"/>
      <c r="D64" s="1535" t="s">
        <v>1577</v>
      </c>
      <c r="E64" s="45" t="s">
        <v>1578</v>
      </c>
      <c r="F64" s="2900"/>
      <c r="G64" s="2900"/>
      <c r="H64" s="2895"/>
      <c r="I64" s="905"/>
      <c r="J64" s="2765"/>
      <c r="K64" s="1236"/>
      <c r="L64" s="1236"/>
      <c r="M64" s="1236"/>
      <c r="N64" s="1236"/>
      <c r="O64" s="1236"/>
    </row>
    <row r="65" spans="1:36" ht="12.75">
      <c r="A65" s="46">
        <v>1</v>
      </c>
      <c r="B65" s="47" t="s">
        <v>1579</v>
      </c>
      <c r="C65" s="2704">
        <f ca="1">ROUND((C66+C67)/(1+'数据-取费表'!F30),0)</f>
        <v>272</v>
      </c>
      <c r="D65" s="47"/>
      <c r="E65" s="48"/>
      <c r="F65" s="2900"/>
      <c r="G65" s="2900"/>
      <c r="H65" s="2895"/>
      <c r="I65" s="905"/>
      <c r="J65" s="2765"/>
      <c r="K65" s="3558" t="s">
        <v>1580</v>
      </c>
      <c r="L65" s="1235" t="s">
        <v>1581</v>
      </c>
      <c r="M65" s="1235">
        <f ca="1">IF(N51&gt;10000,N51*0.5%,IF(AND(N51&gt;1000,N51&lt;=10000),N51*1%,IF(AND(N51&gt;100,N51&lt;=1000),N51*3%,IF(AND(N51&gt;10,N51&lt;=100),N51*5%,N51*8%))))</f>
        <v>8.58</v>
      </c>
      <c r="N65" s="235">
        <f ca="1">ROUND(M65,1)</f>
        <v>8.6</v>
      </c>
      <c r="O65" s="2452"/>
    </row>
    <row r="66" spans="1:36" ht="12.75">
      <c r="A66" s="49" t="s">
        <v>71</v>
      </c>
      <c r="B66" s="50" t="s">
        <v>1582</v>
      </c>
      <c r="C66" s="2705">
        <f ca="1">D47</f>
        <v>286</v>
      </c>
      <c r="D66" s="50" t="s">
        <v>41</v>
      </c>
      <c r="E66" s="52"/>
      <c r="F66" s="2900"/>
      <c r="G66" s="2900"/>
      <c r="H66" s="2895"/>
      <c r="I66" s="905"/>
      <c r="J66" s="2765"/>
      <c r="K66" s="3558"/>
      <c r="L66" s="1235" t="s">
        <v>1583</v>
      </c>
      <c r="M66" s="1235">
        <f ca="1">IF(N51&gt;2000,N51*0.5%,IF(AND(N51&gt;1000,N51&lt;=2000),N51*0.6%,IF(AND(N51&gt;500,N51&lt;=1000),N51*0.7%,IF(AND(N51&gt;200,N51&lt;=500),N51*0.8%,IF(AND(N51&gt;100,N51&lt;=200),N51*0.9%,IF(AND(N51&gt;50,N51&lt;=100),N51*1%,IF(AND(N51&gt;20,N51&lt;=50),N51*1.5%,IF(AND(N51&gt;10,N51&lt;=20),N51*2%,IF(AND(N51&gt;1,N51&lt;=10),N51*2.5%)))))))))</f>
        <v>2.2880000000000003</v>
      </c>
      <c r="N66" s="235">
        <f t="shared" ref="N66:N67" ca="1" si="2">ROUND(M66,1)</f>
        <v>2.2999999999999998</v>
      </c>
      <c r="O66" s="2452" t="s">
        <v>1584</v>
      </c>
    </row>
    <row r="67" spans="1:36" ht="12.75">
      <c r="A67" s="49" t="s">
        <v>72</v>
      </c>
      <c r="B67" s="50" t="s">
        <v>1585</v>
      </c>
      <c r="C67" s="2706"/>
      <c r="D67" s="50"/>
      <c r="E67" s="52"/>
      <c r="F67" s="2900"/>
      <c r="G67" s="2900"/>
      <c r="H67" s="2895"/>
      <c r="I67" s="905"/>
      <c r="J67" s="2765"/>
      <c r="K67" s="3558"/>
      <c r="L67" s="1235" t="s">
        <v>1586</v>
      </c>
      <c r="M67" s="1235">
        <f ca="1">IF(N51&gt;1000,N51*0.1%,IF(AND(N51&gt;500,N51&lt;=1000),N51*0.5%,IF(AND(N51&gt;50,N51&lt;=500),N51*1%,IF(AND(N51&gt;1,N51&lt;=50),N51*1.5%))))</f>
        <v>2.86</v>
      </c>
      <c r="N67" s="235">
        <f t="shared" ca="1" si="2"/>
        <v>2.9</v>
      </c>
      <c r="O67" s="2452" t="s">
        <v>1584</v>
      </c>
    </row>
    <row r="68" spans="1:36" ht="12.75">
      <c r="A68" s="53" t="s">
        <v>47</v>
      </c>
      <c r="B68" s="54" t="s">
        <v>1587</v>
      </c>
      <c r="C68" s="2707"/>
      <c r="D68" s="54" t="s">
        <v>41</v>
      </c>
      <c r="E68" s="1244" t="s">
        <v>1588</v>
      </c>
      <c r="F68" s="2900"/>
      <c r="G68" s="2900"/>
      <c r="H68" s="2895"/>
      <c r="I68" s="905"/>
      <c r="J68" s="2765"/>
      <c r="K68" s="3558"/>
      <c r="L68" s="1235" t="s">
        <v>1589</v>
      </c>
      <c r="M68" s="1235">
        <f ca="1">N51*0.5%</f>
        <v>1.43</v>
      </c>
      <c r="N68" s="235">
        <f ca="1">IF(M68&gt;0.5,0.5,ROUND(M68,0))</f>
        <v>0.5</v>
      </c>
      <c r="O68" s="2452" t="s">
        <v>1590</v>
      </c>
    </row>
    <row r="69" spans="1:36" ht="12.75">
      <c r="A69" s="53" t="s">
        <v>42</v>
      </c>
      <c r="B69" s="54" t="s">
        <v>1591</v>
      </c>
      <c r="C69" s="2708">
        <f ca="1">C65-C68</f>
        <v>272</v>
      </c>
      <c r="D69" s="50" t="s">
        <v>41</v>
      </c>
      <c r="E69" s="52"/>
      <c r="F69" s="2900"/>
      <c r="G69" s="2900"/>
      <c r="H69" s="2895"/>
      <c r="I69" s="905"/>
      <c r="J69" s="2765"/>
      <c r="K69" s="3558"/>
      <c r="L69" s="1235" t="s">
        <v>1592</v>
      </c>
      <c r="M69" s="1235">
        <f ca="1">IF(N51&gt;=10000,(8.25+(N51-10000)*0.01%),IF(AND(N51&gt;=8000,N51&lt;10000),(7.85+(N51-8000)*0.02%),IF(AND(N51&gt;=5000,N51&lt;8000),(6.65+(N51-5000)*0.04%),IF(AND(N51&gt;=2000,N51&lt;5000),(4.25+(PN51-2000)*0.08%),IF(AND(N51&gt;=1000,N51&lt;2000),(2.75+(N51-1000)*0.15%),IF(AND(N51&gt;=100,N51&lt;1000),(0.5+(N51-100)*0.25%),IF(AND(N51&gt;0,N51&lt;100),N51*0.5%)))))))</f>
        <v>0.96500000000000008</v>
      </c>
      <c r="N69" s="235">
        <f ca="1">ROUND(M69*0.9,1)</f>
        <v>0.9</v>
      </c>
      <c r="O69" s="2452"/>
    </row>
    <row r="70" spans="1:36" ht="13.5" thickBot="1">
      <c r="A70" s="55" t="s">
        <v>46</v>
      </c>
      <c r="B70" s="56" t="s">
        <v>1593</v>
      </c>
      <c r="C70" s="2709">
        <f ca="1">IF(C69&lt;=0,0,ROUND(C69*D70,0))</f>
        <v>15</v>
      </c>
      <c r="D70" s="2170">
        <f>'数据-取费表'!E29</f>
        <v>5.6000000000000001E-2</v>
      </c>
      <c r="E70" s="57"/>
      <c r="F70" s="2900"/>
      <c r="G70" s="2900"/>
      <c r="H70" s="2895"/>
      <c r="I70" s="905"/>
      <c r="J70" s="2765"/>
      <c r="K70" s="3558"/>
      <c r="L70" s="1235" t="s">
        <v>1594</v>
      </c>
      <c r="M70" s="1235">
        <f ca="1">IF(N51&gt;10000,N51*0.5%,IF(AND(N51&gt;5000,N51&lt;=10000),N51*1%,IF(AND(N51&gt;1000,N51&lt;=5000),N51*2%,IF(AND(N51&gt;200,N51&lt;=1000),N51*3%,N51*5%))))</f>
        <v>8.58</v>
      </c>
      <c r="N70" s="235">
        <f ca="1">ROUND(M70,1)</f>
        <v>8.6</v>
      </c>
      <c r="O70" s="2452"/>
    </row>
    <row r="71" spans="1:36" s="1393" customFormat="1" ht="7.5" customHeight="1">
      <c r="A71" s="1405"/>
      <c r="B71" s="1406"/>
      <c r="C71" s="2710"/>
      <c r="D71" s="2213"/>
      <c r="E71" s="1409"/>
      <c r="F71" s="1385"/>
      <c r="G71" s="1385"/>
      <c r="H71" s="1409"/>
      <c r="I71" s="2481"/>
      <c r="J71" s="2765"/>
      <c r="K71" s="3558"/>
      <c r="L71" s="1235" t="s">
        <v>1595</v>
      </c>
      <c r="M71" s="1235"/>
      <c r="N71" s="235">
        <f ca="1">ROUND(SUM(N65:N70),0)</f>
        <v>24</v>
      </c>
      <c r="O71" s="2453">
        <f ca="1">N71/N51</f>
        <v>8.3916083916083919E-2</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5" t="s">
        <v>1596</v>
      </c>
      <c r="B72" s="3546"/>
      <c r="C72" s="3546"/>
      <c r="D72" s="3546"/>
      <c r="E72" s="3546"/>
      <c r="F72" s="3546"/>
      <c r="G72" s="3546"/>
      <c r="H72" s="3546"/>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4" t="s">
        <v>1576</v>
      </c>
      <c r="B73" s="3485"/>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 ca="1">ROUND(D47/(1+'数据-取费表'!F30),0)</f>
        <v>272</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 ca="1">C76+C80</f>
        <v>2</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7" t="s">
        <v>1606</v>
      </c>
      <c r="F78" s="3465"/>
      <c r="G78" s="3465"/>
      <c r="H78" s="347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 ca="1">ROUND(D47*D80/(1+'数据-取费表'!F30),0)</f>
        <v>2</v>
      </c>
      <c r="D80" s="2717">
        <f>'数据-取费表'!E31</f>
        <v>6.000000000000001E-3</v>
      </c>
      <c r="E80" s="3459" t="s">
        <v>1611</v>
      </c>
      <c r="F80" s="3460"/>
      <c r="G80" s="3460"/>
      <c r="H80" s="3461"/>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 ca="1">C74-C75</f>
        <v>270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 ca="1">IF(C81&lt;=0,0,C81/C75)</f>
        <v>135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 ca="1">ROUND(IF(C81&lt;=0,0,IF(C82&gt;=200%,C81*60%-C75*35%,IF(C82&gt;=100%,C81*50%-C75*15%,IF(C82&gt;=50%,C81*40%-C75*5%,IF(C82&lt;50%,C81*30%,0))))),0)</f>
        <v>161</v>
      </c>
      <c r="D83" s="210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5" t="s">
        <v>1615</v>
      </c>
      <c r="B85" s="3546"/>
      <c r="C85" s="3546"/>
      <c r="D85" s="3546"/>
      <c r="E85" s="3546"/>
      <c r="F85" s="3546"/>
      <c r="G85" s="3546"/>
      <c r="H85" s="3546"/>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4" t="s">
        <v>1576</v>
      </c>
      <c r="B86" s="3485"/>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 ca="1">ROUND(D47/(1+'数据-取费表'!F30),0)</f>
        <v>272</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 ca="1">IF(H90="仅含出让金",C89+C92+C93+C94+C95+C96,C89+C93+C94+C95+C96)</f>
        <v>2</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0" t="s">
        <v>2493</v>
      </c>
      <c r="H92" s="3547"/>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9" t="s">
        <v>1623</v>
      </c>
      <c r="F93" s="3460"/>
      <c r="G93" s="3460"/>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9" t="s">
        <v>1626</v>
      </c>
      <c r="F94" s="3460"/>
      <c r="G94" s="3460"/>
      <c r="H94" s="3461"/>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 ca="1">ROUND(D47*D95/(1+'数据-取费表'!F30),0)</f>
        <v>2</v>
      </c>
      <c r="D95" s="2717">
        <f>'数据-取费表'!E31</f>
        <v>6.000000000000001E-3</v>
      </c>
      <c r="E95" s="3459" t="s">
        <v>1611</v>
      </c>
      <c r="F95" s="3460"/>
      <c r="G95" s="3460"/>
      <c r="H95" s="3461"/>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9" t="s">
        <v>1628</v>
      </c>
      <c r="F96" s="3460"/>
      <c r="G96" s="3460"/>
      <c r="H96" s="3461"/>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 ca="1">ROUND(C87-C88,0)</f>
        <v>270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 ca="1">IF(C97&lt;=0,0,C97/C88)</f>
        <v>135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 ca="1">ROUND(IF(C97&lt;=0,0,IF(C98&gt;=200%,C97*60%-C88*35%,IF(C98&gt;=100%,C97*50%-C88*15%,IF(C98&gt;=50%,C97*40%-C88*5%,IF(C98&lt;50%,C97*30%,0))))),0)</f>
        <v>161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6" t="s">
        <v>1630</v>
      </c>
      <c r="B101" s="3507"/>
      <c r="C101" s="3507"/>
      <c r="D101" s="3508"/>
      <c r="E101" s="1389"/>
      <c r="F101" s="3542" t="s">
        <v>2535</v>
      </c>
      <c r="G101" s="3543"/>
      <c r="H101" s="3543"/>
      <c r="I101" s="3544"/>
      <c r="J101" s="2800"/>
    </row>
    <row r="102" spans="1:36" ht="15">
      <c r="A102" s="3518" t="s">
        <v>1632</v>
      </c>
      <c r="B102" s="3519"/>
      <c r="C102" s="2723" t="str">
        <f>C4</f>
        <v>比较法-办公</v>
      </c>
      <c r="D102" s="2724" t="str">
        <f>D4</f>
        <v>收益法</v>
      </c>
      <c r="E102" s="1389"/>
      <c r="F102" s="3430" t="s">
        <v>2536</v>
      </c>
      <c r="G102" s="3431"/>
      <c r="H102" s="3436" t="s">
        <v>2537</v>
      </c>
      <c r="I102" s="3429"/>
      <c r="J102" s="2780"/>
    </row>
    <row r="103" spans="1:36" ht="12.75">
      <c r="A103" s="3539" t="s">
        <v>2531</v>
      </c>
      <c r="B103" s="2235" t="str">
        <f>IF(H19="元","总价（元）","总价（万元）")</f>
        <v>总价（万元）</v>
      </c>
      <c r="C103" s="1235">
        <f ca="1">C19</f>
        <v>587</v>
      </c>
      <c r="D103" s="2727">
        <f ca="1">D19</f>
        <v>557</v>
      </c>
      <c r="E103" s="1389"/>
      <c r="F103" s="3540"/>
      <c r="G103" s="3541"/>
      <c r="H103" s="3428">
        <f>典型户型修正!B25</f>
        <v>88.15</v>
      </c>
      <c r="I103" s="3429"/>
      <c r="J103" s="2780"/>
    </row>
    <row r="104" spans="1:36" ht="12.75">
      <c r="A104" s="3539"/>
      <c r="B104" s="2235" t="s">
        <v>2532</v>
      </c>
      <c r="C104" s="2728">
        <f ca="1">C20</f>
        <v>33318</v>
      </c>
      <c r="D104" s="2729">
        <f ca="1">D20</f>
        <v>31618</v>
      </c>
      <c r="E104" s="1389"/>
      <c r="F104" s="3440" t="s">
        <v>2538</v>
      </c>
      <c r="G104" s="3441"/>
      <c r="H104" s="2737" t="str">
        <f>C110</f>
        <v>总价（万元）</v>
      </c>
      <c r="I104" s="2738">
        <f ca="1">H125</f>
        <v>286</v>
      </c>
      <c r="J104" s="2780"/>
    </row>
    <row r="105" spans="1:36" ht="12.75">
      <c r="A105" s="3539" t="s">
        <v>2533</v>
      </c>
      <c r="B105" s="2173" t="str">
        <f>B103</f>
        <v>总价（万元）</v>
      </c>
      <c r="C105" s="12">
        <f ca="1">ROUND(IF('数据-取费表'!B4="总价",G19,IF(H19="元",G20*'数据-取费表'!E5,G20*'数据-取费表'!E5/10000)),0)</f>
        <v>572</v>
      </c>
      <c r="D105" s="2730"/>
      <c r="E105" s="1389"/>
      <c r="F105" s="3440"/>
      <c r="G105" s="3441"/>
      <c r="H105" s="2737" t="s">
        <v>2539</v>
      </c>
      <c r="I105" s="52">
        <f ca="1">I125</f>
        <v>32445</v>
      </c>
      <c r="J105" s="2764"/>
    </row>
    <row r="106" spans="1:36" ht="12.75">
      <c r="A106" s="3539"/>
      <c r="B106" s="2235" t="s">
        <v>2532</v>
      </c>
      <c r="C106" s="1409" t="e">
        <f ca="1">ROUND(IF('数据-取费表'!B4="楼面单价",G20,IF(H19="元",G19/'数据-取费表'!E5,G19*10000/'数据-取费表'!E5)),0)</f>
        <v>#DIV/0!</v>
      </c>
      <c r="D106" s="2730"/>
      <c r="E106" s="1389"/>
      <c r="F106" s="3440"/>
      <c r="G106" s="3441"/>
      <c r="H106" s="3500"/>
      <c r="I106" s="3501"/>
      <c r="J106" s="2781"/>
    </row>
    <row r="107" spans="1:36" ht="12.75">
      <c r="A107" s="3533" t="s">
        <v>2534</v>
      </c>
      <c r="B107" s="2731" t="str">
        <f>B103</f>
        <v>总价（万元）</v>
      </c>
      <c r="C107" s="2732">
        <f ca="1">H125</f>
        <v>286</v>
      </c>
      <c r="D107" s="2733"/>
      <c r="E107" s="1389"/>
      <c r="F107" s="3504" t="s">
        <v>2540</v>
      </c>
      <c r="G107" s="3505"/>
      <c r="H107" s="2739" t="str">
        <f>C112</f>
        <v>总额（万元）</v>
      </c>
      <c r="I107" s="2738">
        <f>SUMIF(I108:I110,"&lt;9E307")</f>
        <v>0</v>
      </c>
      <c r="J107" s="2780"/>
    </row>
    <row r="108" spans="1:36" ht="15" thickBot="1">
      <c r="A108" s="3499"/>
      <c r="B108" s="2734" t="s">
        <v>2532</v>
      </c>
      <c r="C108" s="2735">
        <f ca="1">I125</f>
        <v>32445</v>
      </c>
      <c r="D108" s="2736"/>
      <c r="E108" s="1389"/>
      <c r="F108" s="3442" t="s">
        <v>2541</v>
      </c>
      <c r="G108" s="3443"/>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6" t="s">
        <v>1633</v>
      </c>
      <c r="B109" s="3537"/>
      <c r="C109" s="3537"/>
      <c r="D109" s="3538"/>
      <c r="E109" s="1389"/>
      <c r="F109" s="3442" t="s">
        <v>2542</v>
      </c>
      <c r="G109" s="3443"/>
      <c r="H109" s="2739" t="str">
        <f>C114</f>
        <v>总额（万元）</v>
      </c>
      <c r="I109" s="52">
        <f>C39</f>
        <v>0</v>
      </c>
      <c r="J109" s="2764"/>
    </row>
    <row r="110" spans="1:36" ht="12.75">
      <c r="A110" s="3440" t="s">
        <v>2545</v>
      </c>
      <c r="B110" s="3441"/>
      <c r="C110" s="2737" t="str">
        <f>B103</f>
        <v>总价（万元）</v>
      </c>
      <c r="D110" s="2738">
        <f ca="1">H125</f>
        <v>286</v>
      </c>
      <c r="E110" s="1389"/>
      <c r="F110" s="3442" t="s">
        <v>2543</v>
      </c>
      <c r="G110" s="3443"/>
      <c r="H110" s="2739" t="str">
        <f>C115</f>
        <v>总额（万元）</v>
      </c>
      <c r="I110" s="52">
        <f>C40</f>
        <v>0</v>
      </c>
      <c r="J110" s="2764"/>
    </row>
    <row r="111" spans="1:36" ht="12.75">
      <c r="A111" s="3440"/>
      <c r="B111" s="3441"/>
      <c r="C111" s="2737" t="s">
        <v>2546</v>
      </c>
      <c r="D111" s="52">
        <f ca="1">I125</f>
        <v>32445</v>
      </c>
      <c r="E111" s="1389"/>
      <c r="F111" s="3440"/>
      <c r="G111" s="3441"/>
      <c r="H111" s="3502"/>
      <c r="I111" s="3503"/>
      <c r="J111" s="2782"/>
    </row>
    <row r="112" spans="1:36" ht="28.5" customHeight="1">
      <c r="A112" s="3447" t="s">
        <v>2540</v>
      </c>
      <c r="B112" s="3448"/>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 ca="1">IF(F112="——","——",I104-I107)</f>
        <v>286</v>
      </c>
      <c r="J112" s="2780"/>
    </row>
    <row r="113" spans="1:27" ht="12.75">
      <c r="A113" s="3442" t="s">
        <v>2547</v>
      </c>
      <c r="B113" s="3443"/>
      <c r="C113" s="2739" t="str">
        <f>C112</f>
        <v>总额（万元）</v>
      </c>
      <c r="D113" s="52">
        <f>IF(D38="同一抵押权人同一抵押物续贷",C38&amp;"（未扣减，详见特别提示）",C38)</f>
        <v>0</v>
      </c>
      <c r="E113" s="1389"/>
      <c r="F113" s="3531"/>
      <c r="G113" s="3532"/>
      <c r="H113" s="2737" t="s">
        <v>2539</v>
      </c>
      <c r="I113" s="2741">
        <f ca="1">D117</f>
        <v>32445</v>
      </c>
      <c r="J113" s="2783"/>
    </row>
    <row r="114" spans="1:27" ht="12.75">
      <c r="A114" s="3442" t="s">
        <v>2548</v>
      </c>
      <c r="B114" s="3443"/>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42" t="s">
        <v>2549</v>
      </c>
      <c r="B115" s="3443"/>
      <c r="C115" s="2739" t="str">
        <f>C112</f>
        <v>总额（万元）</v>
      </c>
      <c r="D115" s="52">
        <f>C40</f>
        <v>0</v>
      </c>
      <c r="E115" s="1389"/>
      <c r="F115" s="3531"/>
      <c r="G115" s="3532"/>
      <c r="H115" s="2737" t="s">
        <v>2539</v>
      </c>
      <c r="I115" s="52" t="str">
        <f>D119</f>
        <v>——</v>
      </c>
      <c r="J115" s="2764"/>
    </row>
    <row r="116" spans="1:27" ht="12.75">
      <c r="A116" s="3440" t="str">
        <f>IF(项目基本情况!F5="已注销","——","3.房地产抵押价值")</f>
        <v>3.房地产抵押价值</v>
      </c>
      <c r="B116" s="3441"/>
      <c r="C116" s="2737" t="str">
        <f>B103</f>
        <v>总价（万元）</v>
      </c>
      <c r="D116" s="2738">
        <f ca="1">IF(A116="——","——",D110-D112)</f>
        <v>286</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0"/>
      <c r="B117" s="3441"/>
      <c r="C117" s="2737" t="s">
        <v>2546</v>
      </c>
      <c r="D117" s="52">
        <f ca="1">ROUND(IF(D116=D110,D111,IF(H19="元",D116/B125,D116*10000/B125)),0)</f>
        <v>32445</v>
      </c>
      <c r="E117" s="1389"/>
      <c r="F117" s="3434"/>
      <c r="G117" s="3435"/>
      <c r="H117" s="2742" t="s">
        <v>2539</v>
      </c>
      <c r="I117" s="2726" t="str">
        <f ca="1">D121</f>
        <v>——</v>
      </c>
      <c r="J117" s="2764"/>
    </row>
    <row r="118" spans="1:27" ht="15.75">
      <c r="A118" s="3440" t="str">
        <f>IF(项目基本情况!F5="已注销及未注销","4.抵押担保权已注销时的房地产抵押价值",IF(项目基本情况!F5="已注销","3.抵押担保权已注销时的房地产抵押价值","——"))</f>
        <v>——</v>
      </c>
      <c r="B118" s="3441"/>
      <c r="C118" s="2737" t="str">
        <f>B103</f>
        <v>总价（万元）</v>
      </c>
      <c r="D118" s="2738" t="str">
        <f>IF(A118="——","——",D110-D114-D115)</f>
        <v>——</v>
      </c>
      <c r="E118" s="1389"/>
      <c r="F118" s="3526"/>
      <c r="G118" s="3526"/>
      <c r="H118" s="3490"/>
      <c r="I118" s="3490"/>
      <c r="J118" s="2784"/>
      <c r="O118" s="32"/>
      <c r="P118" s="32"/>
    </row>
    <row r="119" spans="1:27" s="1236" customFormat="1" ht="12.75">
      <c r="A119" s="3440"/>
      <c r="B119" s="3441"/>
      <c r="C119" s="2737" t="s">
        <v>2546</v>
      </c>
      <c r="D119" s="52" t="str">
        <f>IF(A118="——","——",IF(H19="元",ROUND(D118/B125,0),ROUND(D118*10000/B125,0)))</f>
        <v>——</v>
      </c>
      <c r="E119" s="1389"/>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0" t="str">
        <f>IF(项目基本情况!G5="抵押净值",IF(OR(项目基本情况!F5="已注销",项目基本情况!F5="房地产抵押价值"),"4.抵押净值","5.抵押净值"),"——")</f>
        <v>——</v>
      </c>
      <c r="B120" s="3441"/>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5"/>
      <c r="B121" s="3446"/>
      <c r="C121" s="2742" t="s">
        <v>2546</v>
      </c>
      <c r="D121" s="2726" t="str">
        <f ca="1">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1" t="s">
        <v>1672</v>
      </c>
      <c r="B122" s="3492"/>
      <c r="C122" s="3492"/>
      <c r="D122" s="3492"/>
      <c r="E122" s="3492"/>
      <c r="F122" s="3492"/>
      <c r="G122" s="3492"/>
      <c r="H122" s="3492"/>
      <c r="I122" s="3492"/>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5" t="s">
        <v>2550</v>
      </c>
      <c r="B123" s="3451" t="s">
        <v>2551</v>
      </c>
      <c r="C123" s="3451" t="s">
        <v>2557</v>
      </c>
      <c r="D123" s="3513" t="s">
        <v>2552</v>
      </c>
      <c r="E123" s="3514"/>
      <c r="F123" s="3426" t="s">
        <v>2558</v>
      </c>
      <c r="G123" s="3426"/>
      <c r="H123" s="3426" t="s">
        <v>2553</v>
      </c>
      <c r="I123" s="3512"/>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5"/>
      <c r="B124" s="3452"/>
      <c r="C124" s="3452"/>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88.15</v>
      </c>
      <c r="C125" s="1384"/>
      <c r="D125" s="2020">
        <f>C36</f>
        <v>0</v>
      </c>
      <c r="E125" s="2020">
        <f>ROUND(IF(H19="元",D125/B125,D125*10000/B125),0)</f>
        <v>0</v>
      </c>
      <c r="F125" s="2020">
        <f>C37</f>
        <v>0</v>
      </c>
      <c r="G125" s="2020">
        <f>ROUND(IF(H19="元",F125/B125,F125*10000/B125),0)</f>
        <v>0</v>
      </c>
      <c r="H125" s="2020">
        <f ca="1">C34</f>
        <v>286</v>
      </c>
      <c r="I125" s="52">
        <f ca="1">C35</f>
        <v>32445</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5" t="s">
        <v>2556</v>
      </c>
      <c r="B126" s="3426"/>
      <c r="C126" s="3426"/>
      <c r="D126" s="3453" t="str">
        <f>IF(H19="元",NUMBERSTRING(INT(D125),2)&amp;"元整",NUMBERSTRING(INT(D125*10000),2)&amp;"元整")</f>
        <v>零元整</v>
      </c>
      <c r="E126" s="3496"/>
      <c r="F126" s="3453" t="str">
        <f>IF(H19="元",NUMBERSTRING(INT(F125),2)&amp;"元整",NUMBERSTRING(INT(F125*10000),2)&amp;"元整")</f>
        <v>零元整</v>
      </c>
      <c r="G126" s="3496"/>
      <c r="H126" s="3453" t="str">
        <f ca="1">IF(H19="元",NUMBERSTRING(INT(H125),2)&amp;"元整",NUMBERSTRING(INT(H125*10000),2)&amp;"元整")</f>
        <v>贰佰捌拾陆万元整</v>
      </c>
      <c r="I126" s="3454"/>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0" t="str">
        <f>IF(项目基本情况!D5="房地产市场价值","——",MID(A112,3,LEN(A112)-2))</f>
        <v>估价师所知悉的法定优先受偿款</v>
      </c>
      <c r="B127" s="3436"/>
      <c r="C127" s="3431"/>
      <c r="D127" s="3428">
        <f>I107</f>
        <v>0</v>
      </c>
      <c r="E127" s="3436"/>
      <c r="F127" s="3436"/>
      <c r="G127" s="3436"/>
      <c r="H127" s="3436"/>
      <c r="I127" s="3429"/>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7" t="s">
        <v>2556</v>
      </c>
      <c r="B128" s="3465"/>
      <c r="C128" s="3466"/>
      <c r="D128" s="3437">
        <f>H111</f>
        <v>0</v>
      </c>
      <c r="E128" s="3438"/>
      <c r="F128" s="3438"/>
      <c r="G128" s="3438"/>
      <c r="H128" s="3438"/>
      <c r="I128" s="3439"/>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0" t="str">
        <f>IF(项目基本情况!D5="房地产市场价值","——",MID(A116,3,LEN(A116)-2))</f>
        <v>房地产抵押价值</v>
      </c>
      <c r="B129" s="3441"/>
      <c r="C129" s="3441"/>
      <c r="D129" s="3428">
        <f ca="1">I112</f>
        <v>286</v>
      </c>
      <c r="E129" s="3436"/>
      <c r="F129" s="3436"/>
      <c r="G129" s="3436"/>
      <c r="H129" s="3436"/>
      <c r="I129" s="3429"/>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5" t="s">
        <v>2556</v>
      </c>
      <c r="B130" s="3426"/>
      <c r="C130" s="3426"/>
      <c r="D130" s="3437">
        <f ca="1">I113</f>
        <v>32445</v>
      </c>
      <c r="E130" s="3438"/>
      <c r="F130" s="3438"/>
      <c r="G130" s="3438"/>
      <c r="H130" s="3438"/>
      <c r="I130" s="3439"/>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0" t="str">
        <f>IF(项目基本情况!D5="房地产市场价值","——",MID(A118,3,LEN(A118)-2))</f>
        <v/>
      </c>
      <c r="B131" s="3441"/>
      <c r="C131" s="3441"/>
      <c r="D131" s="3473" t="str">
        <f>I114</f>
        <v>——</v>
      </c>
      <c r="E131" s="3474"/>
      <c r="F131" s="3474"/>
      <c r="G131" s="3474"/>
      <c r="H131" s="3474"/>
      <c r="I131" s="3525"/>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5" t="s">
        <v>2556</v>
      </c>
      <c r="B132" s="3426"/>
      <c r="C132" s="3427"/>
      <c r="D132" s="3489" t="str">
        <f>I115</f>
        <v>——</v>
      </c>
      <c r="E132" s="3489"/>
      <c r="F132" s="3489"/>
      <c r="G132" s="3489"/>
      <c r="H132" s="3489"/>
      <c r="I132" s="3489"/>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0" t="str">
        <f>IF(项目基本情况!D5="房地产市场价值","——",MID(F116,3,LEN(F116)-2))</f>
        <v/>
      </c>
      <c r="B133" s="3441"/>
      <c r="C133" s="3428"/>
      <c r="D133" s="3444" t="str">
        <f>I116</f>
        <v>——</v>
      </c>
      <c r="E133" s="3444"/>
      <c r="F133" s="3444"/>
      <c r="G133" s="3444"/>
      <c r="H133" s="3444"/>
      <c r="I133" s="3444"/>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9" t="s">
        <v>2556</v>
      </c>
      <c r="B134" s="3450"/>
      <c r="C134" s="3450"/>
      <c r="D134" s="3455">
        <f>H118</f>
        <v>0</v>
      </c>
      <c r="E134" s="3456"/>
      <c r="F134" s="3456"/>
      <c r="G134" s="3456"/>
      <c r="H134" s="3456"/>
      <c r="I134" s="3457"/>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3" t="str">
        <f>IF(B33="总价","（以上估价结果中楼面单价为总价除以建筑面积得出）","（以上估价结果中总价为楼面单价乘以建筑面积得出）")</f>
        <v>（以上估价结果中总价为楼面单价乘以建筑面积得出）</v>
      </c>
      <c r="B136" s="3423"/>
      <c r="C136" s="3423"/>
      <c r="D136" s="3423"/>
      <c r="E136" s="3423"/>
      <c r="F136" s="3423"/>
      <c r="G136" s="3423"/>
      <c r="H136" s="3423"/>
      <c r="I136" s="3423"/>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12521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35258</v>
      </c>
      <c r="D10" s="1101">
        <f>IF('数据-取费表'!B10&lt;&gt;"住宅",IF(B1="仅计算典型户型",'数据-取费表'!E5,'数据-取费表'!B5),0)</f>
        <v>176.29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35258</v>
      </c>
      <c r="D19" s="1104">
        <f>IF(B1="仅计算典型户型",'数据-取费表'!E5,'数据-取费表'!B5)</f>
        <v>176.29</v>
      </c>
      <c r="E19" s="111">
        <f>'数据-取费表'!E15</f>
        <v>200</v>
      </c>
      <c r="F19" s="112"/>
      <c r="G19" s="1446"/>
    </row>
    <row r="20" spans="1:123" s="91" customFormat="1" ht="13.5" customHeight="1">
      <c r="A20" s="120" t="s">
        <v>1702</v>
      </c>
      <c r="B20" s="89" t="s">
        <v>1703</v>
      </c>
      <c r="C20" s="99">
        <f>ROUND((C5+C19)*F20,0)</f>
        <v>21315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92299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3024</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163061</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163061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1454581</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772150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705160</v>
      </c>
      <c r="D34" s="1096"/>
      <c r="E34" s="115"/>
      <c r="F34" s="1107" t="str">
        <f>IF('数据-取费表'!B26=0,"",'数据-取费表'!E20)</f>
        <v/>
      </c>
      <c r="G34" s="95"/>
    </row>
    <row r="35" spans="1:123" ht="13.5" customHeight="1">
      <c r="A35" s="92" t="s">
        <v>1685</v>
      </c>
      <c r="B35" s="93" t="s">
        <v>1734</v>
      </c>
      <c r="C35" s="115">
        <f>ROUND(C34*F35,0)</f>
        <v>21155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35258</v>
      </c>
      <c r="D37" s="1096">
        <f>IF(B1="仅计算典型户型",'数据-取费表'!E5,'数据-取费表'!B5)</f>
        <v>176.29</v>
      </c>
      <c r="E37" s="115">
        <f>'数据-取费表'!E23</f>
        <v>200</v>
      </c>
      <c r="F37" s="1108"/>
      <c r="G37" s="124" t="s">
        <v>1739</v>
      </c>
    </row>
    <row r="38" spans="1:123" ht="13.5" customHeight="1">
      <c r="A38" s="92" t="s">
        <v>1740</v>
      </c>
      <c r="B38" s="93" t="s">
        <v>1741</v>
      </c>
      <c r="C38" s="115">
        <f>ROUND(C34*F38,0)</f>
        <v>10577</v>
      </c>
      <c r="D38" s="115"/>
      <c r="E38" s="115"/>
      <c r="F38" s="1108">
        <f>'数据-取费表'!E24</f>
        <v>1.4999999999999999E-2</v>
      </c>
      <c r="G38" s="95" t="s">
        <v>1735</v>
      </c>
    </row>
    <row r="39" spans="1:123" s="91" customFormat="1" ht="13.5" customHeight="1">
      <c r="A39" s="120" t="s">
        <v>1700</v>
      </c>
      <c r="B39" s="89" t="s">
        <v>1703</v>
      </c>
      <c r="C39" s="99">
        <f>ROUND(C33*F20,0)</f>
        <v>15443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33079</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32430</v>
      </c>
      <c r="D42" s="104"/>
      <c r="E42" s="104"/>
      <c r="F42" s="105"/>
      <c r="G42" s="3562" t="s">
        <v>1745</v>
      </c>
    </row>
    <row r="43" spans="1:123" ht="13.5" customHeight="1">
      <c r="A43" s="92" t="s">
        <v>1685</v>
      </c>
      <c r="B43" s="93" t="s">
        <v>1714</v>
      </c>
      <c r="C43" s="104">
        <f ca="1">ROUND(IF('数据-取费表'!B24&lt;=1,C39*F22*'数据-取费表'!B23/2,C39*(POWER((1+F22),'数据-取费表'!B23/2)-1)),0)</f>
        <v>649</v>
      </c>
      <c r="D43" s="104"/>
      <c r="E43" s="104"/>
      <c r="F43" s="105"/>
      <c r="G43" s="3563"/>
    </row>
    <row r="44" spans="1:123" ht="13.5" customHeight="1">
      <c r="A44" s="92" t="s">
        <v>1687</v>
      </c>
      <c r="B44" s="93" t="s">
        <v>1716</v>
      </c>
      <c r="C44" s="104">
        <f ca="1">ROUND(IF('数据-取费表'!B24&lt;=1,C40*F22*'数据-取费表'!B23/2,C40*(POWER((1+F22),'数据-取费表'!B23/2)-1)),4)</f>
        <v>8.0000000000000004E-4</v>
      </c>
      <c r="D44" s="104"/>
      <c r="E44" s="104"/>
      <c r="F44" s="105"/>
      <c r="G44" s="3564"/>
    </row>
    <row r="45" spans="1:123" s="91" customFormat="1" ht="13.5" customHeight="1">
      <c r="A45" s="120" t="s">
        <v>1709</v>
      </c>
      <c r="B45" s="110" t="s">
        <v>1721</v>
      </c>
      <c r="C45" s="111">
        <f>C46</f>
        <v>118139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118139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1017240</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752758</v>
      </c>
      <c r="D51" s="99"/>
      <c r="E51" s="99"/>
      <c r="F51" s="126"/>
      <c r="G51" s="100" t="s">
        <v>1759</v>
      </c>
    </row>
    <row r="52" spans="1:123" s="88" customFormat="1" ht="16.5" thickBot="1">
      <c r="A52" s="127" t="s">
        <v>1760</v>
      </c>
      <c r="B52" s="128"/>
      <c r="C52" s="129">
        <f ca="1">C31+C51</f>
        <v>2207339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0.34100000000000003</v>
      </c>
    </row>
    <row r="57" spans="1:123">
      <c r="B57" s="135" t="s">
        <v>1763</v>
      </c>
      <c r="C57" s="137">
        <f ca="1">1-C56</f>
        <v>0.65900000000000003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70" zoomScaleNormal="60" zoomScaleSheetLayoutView="70" workbookViewId="0">
      <selection activeCell="M41" sqref="M4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t="s">
        <v>2505</v>
      </c>
      <c r="D1" s="1566"/>
      <c r="E1" s="1569" t="s">
        <v>2503</v>
      </c>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587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33318</v>
      </c>
      <c r="C3" s="1588" t="s">
        <v>2004</v>
      </c>
      <c r="D3" s="1588">
        <f>IF(C1="仅计算典型户型",'数据-取费表'!E5,'数据-取费表'!B5)</f>
        <v>176.29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2005</v>
      </c>
      <c r="B4" s="1592"/>
      <c r="C4" s="3587" t="s">
        <v>2006</v>
      </c>
      <c r="D4" s="3588"/>
      <c r="E4" s="3589" t="s">
        <v>2007</v>
      </c>
      <c r="F4" s="3590"/>
      <c r="G4" s="3587" t="s">
        <v>2008</v>
      </c>
      <c r="H4" s="3588"/>
      <c r="I4" s="3587" t="s">
        <v>2009</v>
      </c>
      <c r="J4" s="3588"/>
      <c r="K4" s="1894" t="s">
        <v>2010</v>
      </c>
      <c r="L4" s="2915"/>
      <c r="M4" s="2916"/>
      <c r="N4" s="2916"/>
      <c r="O4" s="2916"/>
      <c r="P4" s="3591" t="s">
        <v>2011</v>
      </c>
      <c r="Q4" s="3592"/>
      <c r="R4" s="3575" t="s">
        <v>2007</v>
      </c>
      <c r="S4" s="3576"/>
      <c r="T4" s="3575" t="s">
        <v>2008</v>
      </c>
      <c r="U4" s="3576"/>
      <c r="V4" s="3597" t="s">
        <v>2009</v>
      </c>
      <c r="W4" s="3597"/>
      <c r="X4" s="2003"/>
      <c r="Y4" s="3575" t="s">
        <v>2011</v>
      </c>
      <c r="Z4" s="3576"/>
      <c r="AA4" s="3584" t="s">
        <v>2007</v>
      </c>
      <c r="AB4" s="3584" t="s">
        <v>2008</v>
      </c>
      <c r="AC4" s="3584" t="s">
        <v>2009</v>
      </c>
    </row>
    <row r="5" spans="1:29" ht="15">
      <c r="A5" s="1596"/>
      <c r="B5" s="1597"/>
      <c r="C5" s="3600" t="s">
        <v>2012</v>
      </c>
      <c r="D5" s="3601"/>
      <c r="E5" s="3598" t="str">
        <f>Sheet2!C148</f>
        <v>金码大厦</v>
      </c>
      <c r="F5" s="3599"/>
      <c r="G5" s="3600" t="str">
        <f>Sheet2!C146</f>
        <v>科技财富中心</v>
      </c>
      <c r="H5" s="3601"/>
      <c r="I5" s="3600" t="str">
        <f>Sheet2!C149</f>
        <v>金码大厦</v>
      </c>
      <c r="J5" s="3601"/>
      <c r="K5" s="1894"/>
      <c r="L5" s="2915"/>
      <c r="M5" s="2916"/>
      <c r="N5" s="2916"/>
      <c r="O5" s="2916"/>
      <c r="P5" s="3593"/>
      <c r="Q5" s="3594"/>
      <c r="R5" s="3577"/>
      <c r="S5" s="3578"/>
      <c r="T5" s="3577"/>
      <c r="U5" s="3578"/>
      <c r="V5" s="3597"/>
      <c r="W5" s="3597"/>
      <c r="X5" s="2003"/>
      <c r="Y5" s="3577"/>
      <c r="Z5" s="3578"/>
      <c r="AA5" s="3585"/>
      <c r="AB5" s="3585"/>
      <c r="AC5" s="3585"/>
    </row>
    <row r="6" spans="1:29" ht="15.75" thickBot="1">
      <c r="A6" s="1599"/>
      <c r="B6" s="1600"/>
      <c r="C6" s="3602" t="s">
        <v>2016</v>
      </c>
      <c r="D6" s="3603"/>
      <c r="E6" s="3604" t="s">
        <v>2016</v>
      </c>
      <c r="F6" s="3605"/>
      <c r="G6" s="3602" t="s">
        <v>2016</v>
      </c>
      <c r="H6" s="3603"/>
      <c r="I6" s="3602" t="s">
        <v>2016</v>
      </c>
      <c r="J6" s="3603"/>
      <c r="K6" s="1894" t="s">
        <v>2017</v>
      </c>
      <c r="L6" s="2915"/>
      <c r="M6" s="2916"/>
      <c r="N6" s="2916"/>
      <c r="O6" s="2916"/>
      <c r="P6" s="3595"/>
      <c r="Q6" s="3596"/>
      <c r="R6" s="3577"/>
      <c r="S6" s="3578"/>
      <c r="T6" s="3579"/>
      <c r="U6" s="3580"/>
      <c r="V6" s="3597"/>
      <c r="W6" s="3597"/>
      <c r="X6" s="2003"/>
      <c r="Y6" s="3579"/>
      <c r="Z6" s="3580"/>
      <c r="AA6" s="3586"/>
      <c r="AB6" s="3586"/>
      <c r="AC6" s="3586"/>
    </row>
    <row r="7" spans="1:29" s="1613" customFormat="1" ht="15.75" thickBot="1">
      <c r="A7" s="1601" t="s">
        <v>2018</v>
      </c>
      <c r="B7" s="1602"/>
      <c r="C7" s="1603">
        <f>'数据-取费表'!B2</f>
        <v>44676</v>
      </c>
      <c r="D7" s="1604">
        <v>100</v>
      </c>
      <c r="E7" s="1605">
        <f>C7</f>
        <v>44676</v>
      </c>
      <c r="F7" s="1606">
        <f>SUMIF(59:59,YEAR(E7)&amp;"-"&amp;MONTH(E7),60:60)</f>
        <v>100</v>
      </c>
      <c r="G7" s="1895">
        <f>C7</f>
        <v>44676</v>
      </c>
      <c r="H7" s="1604">
        <f>SUMIF(59:59,YEAR(G7)&amp;"-"&amp;MONTH(G7),60:60)</f>
        <v>100</v>
      </c>
      <c r="I7" s="1895">
        <f>C7</f>
        <v>44676</v>
      </c>
      <c r="J7" s="1604">
        <f>SUMIF(59:59,YEAR(I7)&amp;"-"&amp;MONTH(I7),60:60)</f>
        <v>100</v>
      </c>
      <c r="K7" s="1896"/>
      <c r="L7" s="2915"/>
      <c r="M7" s="2888"/>
      <c r="N7" s="2888"/>
      <c r="O7" s="2888"/>
      <c r="P7" s="3573" t="s">
        <v>2019</v>
      </c>
      <c r="Q7" s="3581"/>
      <c r="R7" s="1609" t="s">
        <v>25</v>
      </c>
      <c r="S7" s="1610">
        <f t="shared" ref="S7:S15" si="0">F7</f>
        <v>100</v>
      </c>
      <c r="T7" s="1609" t="s">
        <v>25</v>
      </c>
      <c r="U7" s="1610">
        <f t="shared" ref="U7:U15" si="1">H7</f>
        <v>100</v>
      </c>
      <c r="V7" s="1609" t="s">
        <v>25</v>
      </c>
      <c r="W7" s="1610">
        <f t="shared" ref="W7:W15" si="2">J7</f>
        <v>100</v>
      </c>
      <c r="X7" s="1611"/>
      <c r="Y7" s="3573" t="s">
        <v>2019</v>
      </c>
      <c r="Z7" s="3574"/>
      <c r="AA7" s="1612">
        <f>D7/F7</f>
        <v>1</v>
      </c>
      <c r="AB7" s="1612">
        <f>D7/H7</f>
        <v>1</v>
      </c>
      <c r="AC7" s="1612">
        <f>D7/J7</f>
        <v>1</v>
      </c>
    </row>
    <row r="8" spans="1:29" s="1613" customFormat="1" ht="15.75" thickBot="1">
      <c r="A8" s="1601" t="s">
        <v>2020</v>
      </c>
      <c r="B8" s="1602"/>
      <c r="C8" s="1614" t="s">
        <v>2021</v>
      </c>
      <c r="D8" s="1604">
        <v>100</v>
      </c>
      <c r="E8" s="3325" t="s">
        <v>3054</v>
      </c>
      <c r="F8" s="1606">
        <f>SUMIF(62:62,E8,63:63)-SUMIF(62:62,C8,63:63)+100</f>
        <v>100</v>
      </c>
      <c r="G8" s="3325" t="s">
        <v>3054</v>
      </c>
      <c r="H8" s="1604">
        <f>SUMIF(62:62,G8,63:63)-SUMIF(62:62,C8,63:63)+100</f>
        <v>100</v>
      </c>
      <c r="I8" s="3325" t="s">
        <v>3054</v>
      </c>
      <c r="J8" s="1604">
        <f>SUMIF(62:62,I8,63:63)-SUMIF(62:62,C8,63:63)+100</f>
        <v>100</v>
      </c>
      <c r="K8" s="1896"/>
      <c r="L8" s="2915"/>
      <c r="M8" s="2888"/>
      <c r="N8" s="2888"/>
      <c r="O8" s="2888"/>
      <c r="P8" s="3573" t="s">
        <v>2022</v>
      </c>
      <c r="Q8" s="3574"/>
      <c r="R8" s="1609" t="s">
        <v>25</v>
      </c>
      <c r="S8" s="1610">
        <f t="shared" si="0"/>
        <v>100</v>
      </c>
      <c r="T8" s="1609" t="s">
        <v>25</v>
      </c>
      <c r="U8" s="1610">
        <f t="shared" si="1"/>
        <v>100</v>
      </c>
      <c r="V8" s="1609" t="s">
        <v>25</v>
      </c>
      <c r="W8" s="1610">
        <f t="shared" si="2"/>
        <v>100</v>
      </c>
      <c r="X8" s="1611"/>
      <c r="Y8" s="3573" t="s">
        <v>2022</v>
      </c>
      <c r="Z8" s="3574"/>
      <c r="AA8" s="1612">
        <f t="shared" ref="AA8:AA47" si="3">D8/F8</f>
        <v>1</v>
      </c>
      <c r="AB8" s="1612">
        <f t="shared" ref="AB8:AB47" si="4">D8/H8</f>
        <v>1</v>
      </c>
      <c r="AC8" s="1612">
        <f t="shared" ref="AC8:AC47" si="5">D8/J8</f>
        <v>1</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5" t="s">
        <v>2025</v>
      </c>
      <c r="Q9" s="2833"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5"/>
      <c r="Q10" s="2833" t="str">
        <f t="shared" si="6"/>
        <v>土地使用年限（年）</v>
      </c>
      <c r="R10" s="1609" t="s">
        <v>25</v>
      </c>
      <c r="S10" s="1610">
        <f t="shared" si="0"/>
        <v>100</v>
      </c>
      <c r="T10" s="1609" t="s">
        <v>25</v>
      </c>
      <c r="U10" s="1610">
        <f t="shared" si="1"/>
        <v>100</v>
      </c>
      <c r="V10" s="1609" t="s">
        <v>25</v>
      </c>
      <c r="W10" s="1610">
        <f t="shared" si="2"/>
        <v>100</v>
      </c>
      <c r="X10" s="1611"/>
      <c r="Y10" s="3458"/>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5"/>
      <c r="Q11" s="2833" t="str">
        <f t="shared" si="6"/>
        <v>容积率</v>
      </c>
      <c r="R11" s="1609" t="s">
        <v>25</v>
      </c>
      <c r="S11" s="1610">
        <f t="shared" si="0"/>
        <v>100</v>
      </c>
      <c r="T11" s="1609" t="s">
        <v>25</v>
      </c>
      <c r="U11" s="1610">
        <f t="shared" si="1"/>
        <v>100</v>
      </c>
      <c r="V11" s="1609" t="s">
        <v>25</v>
      </c>
      <c r="W11" s="1610">
        <f t="shared" si="2"/>
        <v>100</v>
      </c>
      <c r="X11" s="1611"/>
      <c r="Y11" s="345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5"/>
      <c r="Q12" s="2833">
        <f t="shared" si="6"/>
        <v>111</v>
      </c>
      <c r="R12" s="1609" t="s">
        <v>25</v>
      </c>
      <c r="S12" s="1610">
        <f t="shared" si="0"/>
        <v>100</v>
      </c>
      <c r="T12" s="1609" t="s">
        <v>25</v>
      </c>
      <c r="U12" s="1610">
        <f t="shared" si="1"/>
        <v>100</v>
      </c>
      <c r="V12" s="1609" t="s">
        <v>25</v>
      </c>
      <c r="W12" s="1610">
        <f t="shared" si="2"/>
        <v>100</v>
      </c>
      <c r="X12" s="1611"/>
      <c r="Y12" s="345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5"/>
      <c r="Q13" s="2833">
        <f t="shared" si="6"/>
        <v>111</v>
      </c>
      <c r="R13" s="1609" t="s">
        <v>25</v>
      </c>
      <c r="S13" s="1610">
        <f t="shared" si="0"/>
        <v>100</v>
      </c>
      <c r="T13" s="1609" t="s">
        <v>25</v>
      </c>
      <c r="U13" s="1610">
        <f t="shared" si="1"/>
        <v>100</v>
      </c>
      <c r="V13" s="1609" t="s">
        <v>25</v>
      </c>
      <c r="W13" s="1610">
        <f t="shared" si="2"/>
        <v>100</v>
      </c>
      <c r="X13" s="1611"/>
      <c r="Y13" s="345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5"/>
      <c r="Q14" s="2833">
        <f t="shared" si="6"/>
        <v>111</v>
      </c>
      <c r="R14" s="1609" t="s">
        <v>25</v>
      </c>
      <c r="S14" s="1610">
        <f t="shared" si="0"/>
        <v>100</v>
      </c>
      <c r="T14" s="1609" t="s">
        <v>25</v>
      </c>
      <c r="U14" s="1610">
        <f t="shared" si="1"/>
        <v>100</v>
      </c>
      <c r="V14" s="1609" t="s">
        <v>25</v>
      </c>
      <c r="W14" s="1610">
        <f t="shared" si="2"/>
        <v>100</v>
      </c>
      <c r="X14" s="1611"/>
      <c r="Y14" s="3458"/>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2" t="s">
        <v>2030</v>
      </c>
      <c r="Q15" s="2834" t="str">
        <f t="shared" si="6"/>
        <v>办公集聚程度</v>
      </c>
      <c r="R15" s="1654" t="s">
        <v>25</v>
      </c>
      <c r="S15" s="1655">
        <f t="shared" si="0"/>
        <v>100</v>
      </c>
      <c r="T15" s="1654" t="s">
        <v>25</v>
      </c>
      <c r="U15" s="1655">
        <f t="shared" si="1"/>
        <v>100</v>
      </c>
      <c r="V15" s="1654" t="s">
        <v>25</v>
      </c>
      <c r="W15" s="1655">
        <f t="shared" si="2"/>
        <v>100</v>
      </c>
      <c r="X15" s="2003"/>
      <c r="Y15" s="3582"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83"/>
      <c r="Q16" s="2834"/>
      <c r="R16" s="1654"/>
      <c r="S16" s="1655"/>
      <c r="T16" s="1654"/>
      <c r="U16" s="1655"/>
      <c r="V16" s="1654"/>
      <c r="W16" s="1655"/>
      <c r="X16" s="2003"/>
      <c r="Y16" s="358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102</v>
      </c>
      <c r="G17" s="1668"/>
      <c r="H17" s="1671">
        <f>SUMIF(79:79,G18,80:80)-SUMIF(79:79,C18,80:80)+100</f>
        <v>100</v>
      </c>
      <c r="I17" s="1668"/>
      <c r="J17" s="1671">
        <f>SUMIF(79:79,I18,80:80)-SUMIF(79:79,C18,80:80)+100</f>
        <v>102</v>
      </c>
      <c r="K17" s="2391">
        <v>2</v>
      </c>
      <c r="L17" s="2920"/>
      <c r="M17" s="2916"/>
      <c r="N17" s="2916"/>
      <c r="O17" s="2916"/>
      <c r="P17" s="3583"/>
      <c r="Q17" s="2834" t="str">
        <f>B17</f>
        <v>交通便捷度</v>
      </c>
      <c r="R17" s="1654" t="s">
        <v>25</v>
      </c>
      <c r="S17" s="1655">
        <f>F17</f>
        <v>102</v>
      </c>
      <c r="T17" s="1654" t="s">
        <v>25</v>
      </c>
      <c r="U17" s="1655">
        <f>H17</f>
        <v>100</v>
      </c>
      <c r="V17" s="1654" t="s">
        <v>25</v>
      </c>
      <c r="W17" s="1655">
        <f>J17</f>
        <v>102</v>
      </c>
      <c r="X17" s="2003"/>
      <c r="Y17" s="3583"/>
      <c r="Z17" s="2007" t="str">
        <f>Q17</f>
        <v>交通便捷度</v>
      </c>
      <c r="AA17" s="1998">
        <f t="shared" si="3"/>
        <v>0.98039215686274506</v>
      </c>
      <c r="AB17" s="1998">
        <f t="shared" si="4"/>
        <v>1</v>
      </c>
      <c r="AC17" s="1998">
        <f t="shared" si="5"/>
        <v>0.98039215686274506</v>
      </c>
    </row>
    <row r="18" spans="1:29" ht="15">
      <c r="A18" s="1631"/>
      <c r="B18" s="2414"/>
      <c r="C18" s="3330" t="s">
        <v>3062</v>
      </c>
      <c r="D18" s="1664"/>
      <c r="E18" s="3331" t="s">
        <v>3063</v>
      </c>
      <c r="F18" s="1664"/>
      <c r="G18" s="3332" t="s">
        <v>3064</v>
      </c>
      <c r="H18" s="1660"/>
      <c r="I18" s="3332" t="s">
        <v>3063</v>
      </c>
      <c r="J18" s="1660"/>
      <c r="K18" s="2392"/>
      <c r="L18" s="2920"/>
      <c r="M18" s="2916"/>
      <c r="N18" s="2916"/>
      <c r="O18" s="2916"/>
      <c r="P18" s="3583"/>
      <c r="Q18" s="2834"/>
      <c r="R18" s="1654"/>
      <c r="S18" s="1655"/>
      <c r="T18" s="1654"/>
      <c r="U18" s="1655"/>
      <c r="V18" s="1654"/>
      <c r="W18" s="1655"/>
      <c r="X18" s="2003"/>
      <c r="Y18" s="3583"/>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3"/>
      <c r="Q19" s="2834" t="str">
        <f>B19</f>
        <v>公共配套设施</v>
      </c>
      <c r="R19" s="1654" t="s">
        <v>25</v>
      </c>
      <c r="S19" s="1655">
        <f>F19</f>
        <v>100</v>
      </c>
      <c r="T19" s="1654" t="s">
        <v>25</v>
      </c>
      <c r="U19" s="1655">
        <f>H19</f>
        <v>100</v>
      </c>
      <c r="V19" s="1654" t="s">
        <v>25</v>
      </c>
      <c r="W19" s="1655">
        <f>J19</f>
        <v>100</v>
      </c>
      <c r="X19" s="2003"/>
      <c r="Y19" s="358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83"/>
      <c r="Q20" s="2834"/>
      <c r="R20" s="1654"/>
      <c r="S20" s="1655"/>
      <c r="T20" s="1654"/>
      <c r="U20" s="1655"/>
      <c r="V20" s="1654"/>
      <c r="W20" s="1655"/>
      <c r="X20" s="2003"/>
      <c r="Y20" s="3583"/>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3"/>
      <c r="Q21" s="2834" t="str">
        <f>B21</f>
        <v>基础设施水平</v>
      </c>
      <c r="R21" s="1654" t="s">
        <v>25</v>
      </c>
      <c r="S21" s="1655">
        <f>F21</f>
        <v>100</v>
      </c>
      <c r="T21" s="1654" t="s">
        <v>25</v>
      </c>
      <c r="U21" s="1655">
        <f>H21</f>
        <v>100</v>
      </c>
      <c r="V21" s="1654" t="s">
        <v>25</v>
      </c>
      <c r="W21" s="1655">
        <f>J21</f>
        <v>100</v>
      </c>
      <c r="X21" s="2003"/>
      <c r="Y21" s="358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3"/>
      <c r="Q22" s="2834"/>
      <c r="R22" s="1654"/>
      <c r="S22" s="1655"/>
      <c r="T22" s="1654"/>
      <c r="U22" s="1655"/>
      <c r="V22" s="1654"/>
      <c r="W22" s="1655"/>
      <c r="X22" s="2003"/>
      <c r="Y22" s="3583"/>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3"/>
      <c r="Q23" s="2834" t="str">
        <f>B23</f>
        <v>环境质量</v>
      </c>
      <c r="R23" s="1654" t="s">
        <v>25</v>
      </c>
      <c r="S23" s="1655">
        <f>F23</f>
        <v>100</v>
      </c>
      <c r="T23" s="1654" t="s">
        <v>25</v>
      </c>
      <c r="U23" s="1655">
        <f>H23</f>
        <v>100</v>
      </c>
      <c r="V23" s="1654" t="s">
        <v>25</v>
      </c>
      <c r="W23" s="1655">
        <f>J23</f>
        <v>100</v>
      </c>
      <c r="X23" s="2003"/>
      <c r="Y23" s="358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83"/>
      <c r="Q24" s="2834"/>
      <c r="R24" s="1654"/>
      <c r="S24" s="1655"/>
      <c r="T24" s="1654"/>
      <c r="U24" s="1655"/>
      <c r="V24" s="1654"/>
      <c r="W24" s="1655"/>
      <c r="X24" s="2003"/>
      <c r="Y24" s="3583"/>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3"/>
      <c r="Q25" s="2834" t="str">
        <f>B25</f>
        <v>毗邻道路的类型与等级</v>
      </c>
      <c r="R25" s="1654" t="s">
        <v>25</v>
      </c>
      <c r="S25" s="1655">
        <f>F25</f>
        <v>100</v>
      </c>
      <c r="T25" s="1654" t="s">
        <v>25</v>
      </c>
      <c r="U25" s="1655">
        <f>H25</f>
        <v>100</v>
      </c>
      <c r="V25" s="1654" t="s">
        <v>25</v>
      </c>
      <c r="W25" s="1655">
        <f>J25</f>
        <v>100</v>
      </c>
      <c r="X25" s="2003"/>
      <c r="Y25" s="358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3"/>
      <c r="Q26" s="2834"/>
      <c r="R26" s="1654"/>
      <c r="S26" s="1655"/>
      <c r="T26" s="1654"/>
      <c r="U26" s="1655"/>
      <c r="V26" s="1654"/>
      <c r="W26" s="1655"/>
      <c r="X26" s="2003"/>
      <c r="Y26" s="3583"/>
      <c r="Z26" s="2007"/>
      <c r="AA26" s="1998">
        <v>1</v>
      </c>
      <c r="AB26" s="1998">
        <v>1</v>
      </c>
      <c r="AC26" s="1998">
        <v>1</v>
      </c>
    </row>
    <row r="27" spans="1:29" ht="15">
      <c r="A27" s="1631"/>
      <c r="B27" s="2414" t="s">
        <v>2121</v>
      </c>
      <c r="C27" s="3327" t="s">
        <v>3067</v>
      </c>
      <c r="D27" s="1640">
        <v>100</v>
      </c>
      <c r="E27" s="1920" t="str">
        <f>Sheet2!E145</f>
        <v>低区</v>
      </c>
      <c r="F27" s="1640">
        <f>SUMIF(89:89,E27,90:90)-SUMIF(89:89,C27,90:90)+100</f>
        <v>90</v>
      </c>
      <c r="G27" s="1912" t="str">
        <f>Sheet2!E146</f>
        <v>中区</v>
      </c>
      <c r="H27" s="1640">
        <f>SUMIF(89:89,G27,90:90)-SUMIF(89:89,C27,90:90)+100</f>
        <v>95</v>
      </c>
      <c r="I27" s="1920" t="str">
        <f>Sheet2!E147</f>
        <v>高区</v>
      </c>
      <c r="J27" s="1640">
        <f>SUMIF(89:89,I27,90:90)-SUMIF(89:89,C27,90:90)+100</f>
        <v>100</v>
      </c>
      <c r="K27" s="1921">
        <v>5</v>
      </c>
      <c r="L27" s="2920"/>
      <c r="M27" s="2916"/>
      <c r="N27" s="2916"/>
      <c r="O27" s="2916"/>
      <c r="P27" s="3583"/>
      <c r="Q27" s="2834" t="str">
        <f t="shared" ref="Q27:Q47" si="11">B27</f>
        <v>楼层</v>
      </c>
      <c r="R27" s="1654" t="s">
        <v>25</v>
      </c>
      <c r="S27" s="1655">
        <f>F27</f>
        <v>90</v>
      </c>
      <c r="T27" s="1654" t="s">
        <v>25</v>
      </c>
      <c r="U27" s="1655">
        <f>H27</f>
        <v>95</v>
      </c>
      <c r="V27" s="1654" t="s">
        <v>25</v>
      </c>
      <c r="W27" s="1655">
        <f>J27</f>
        <v>100</v>
      </c>
      <c r="X27" s="2003"/>
      <c r="Y27" s="3583"/>
      <c r="Z27" s="2007" t="str">
        <f>Q27</f>
        <v>楼层</v>
      </c>
      <c r="AA27" s="1998">
        <f t="shared" si="3"/>
        <v>1.1111111111111112</v>
      </c>
      <c r="AB27" s="1998">
        <f t="shared" si="4"/>
        <v>1.0526315789473684</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3"/>
      <c r="Q28" s="2833" t="str">
        <f t="shared" si="11"/>
        <v>朝向</v>
      </c>
      <c r="R28" s="1609" t="s">
        <v>25</v>
      </c>
      <c r="S28" s="1610">
        <f>F28</f>
        <v>100</v>
      </c>
      <c r="T28" s="1609" t="s">
        <v>25</v>
      </c>
      <c r="U28" s="1610">
        <f>H28</f>
        <v>100</v>
      </c>
      <c r="V28" s="1609" t="s">
        <v>25</v>
      </c>
      <c r="W28" s="1610">
        <f>J28</f>
        <v>100</v>
      </c>
      <c r="X28" s="1611"/>
      <c r="Y28" s="358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3"/>
      <c r="Q30" s="2834">
        <f t="shared" si="11"/>
        <v>111</v>
      </c>
      <c r="R30" s="1654" t="s">
        <v>25</v>
      </c>
      <c r="S30" s="1655">
        <f t="shared" si="12"/>
        <v>100</v>
      </c>
      <c r="T30" s="1654" t="s">
        <v>25</v>
      </c>
      <c r="U30" s="1655">
        <f t="shared" si="13"/>
        <v>100</v>
      </c>
      <c r="V30" s="1654" t="s">
        <v>25</v>
      </c>
      <c r="W30" s="1655">
        <f t="shared" si="14"/>
        <v>100</v>
      </c>
      <c r="X30" s="2003"/>
      <c r="Y30" s="358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3"/>
      <c r="Q31" s="2834">
        <f t="shared" si="11"/>
        <v>111</v>
      </c>
      <c r="R31" s="1654" t="s">
        <v>25</v>
      </c>
      <c r="S31" s="1655">
        <f t="shared" si="12"/>
        <v>100</v>
      </c>
      <c r="T31" s="1654" t="s">
        <v>25</v>
      </c>
      <c r="U31" s="1655">
        <f t="shared" si="13"/>
        <v>100</v>
      </c>
      <c r="V31" s="1654" t="s">
        <v>25</v>
      </c>
      <c r="W31" s="1655">
        <f t="shared" si="14"/>
        <v>100</v>
      </c>
      <c r="X31" s="2003"/>
      <c r="Y31" s="358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3"/>
      <c r="Q32" s="2834">
        <f t="shared" si="11"/>
        <v>111</v>
      </c>
      <c r="R32" s="1654" t="s">
        <v>25</v>
      </c>
      <c r="S32" s="1655">
        <f t="shared" si="12"/>
        <v>100</v>
      </c>
      <c r="T32" s="1654" t="s">
        <v>25</v>
      </c>
      <c r="U32" s="1655">
        <f t="shared" si="13"/>
        <v>100</v>
      </c>
      <c r="V32" s="1654" t="s">
        <v>25</v>
      </c>
      <c r="W32" s="1655">
        <f t="shared" si="14"/>
        <v>100</v>
      </c>
      <c r="X32" s="2003"/>
      <c r="Y32" s="3583"/>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70" t="s">
        <v>2036</v>
      </c>
      <c r="Q33" s="2834" t="str">
        <f t="shared" si="11"/>
        <v>建筑类型</v>
      </c>
      <c r="R33" s="1654" t="s">
        <v>25</v>
      </c>
      <c r="S33" s="1655">
        <f t="shared" si="12"/>
        <v>100</v>
      </c>
      <c r="T33" s="1654" t="s">
        <v>25</v>
      </c>
      <c r="U33" s="1655">
        <f t="shared" si="13"/>
        <v>100</v>
      </c>
      <c r="V33" s="1654" t="s">
        <v>25</v>
      </c>
      <c r="W33" s="1655">
        <f t="shared" si="14"/>
        <v>100</v>
      </c>
      <c r="X33" s="2003"/>
      <c r="Y33" s="3571" t="s">
        <v>2036</v>
      </c>
      <c r="Z33" s="2007" t="str">
        <f t="shared" si="15"/>
        <v>建筑类型</v>
      </c>
      <c r="AA33" s="1998">
        <f t="shared" si="3"/>
        <v>1</v>
      </c>
      <c r="AB33" s="1998">
        <f t="shared" si="4"/>
        <v>1</v>
      </c>
      <c r="AC33" s="1998">
        <f t="shared" si="5"/>
        <v>1</v>
      </c>
    </row>
    <row r="34" spans="1:29" s="1700" customFormat="1" ht="15">
      <c r="A34" s="1693"/>
      <c r="B34" s="1624" t="s">
        <v>2037</v>
      </c>
      <c r="C34" s="1694">
        <f>D3</f>
        <v>176.29</v>
      </c>
      <c r="D34" s="1626">
        <v>100</v>
      </c>
      <c r="E34" s="1633">
        <f>Sheet2!D148</f>
        <v>400</v>
      </c>
      <c r="F34" s="1628">
        <f>LOOKUP(E34,104:104,105:105)-LOOKUP(C34,104:104,105:105)+100</f>
        <v>102</v>
      </c>
      <c r="G34" s="1632">
        <f>Sheet2!D146</f>
        <v>1786</v>
      </c>
      <c r="H34" s="1626">
        <f>LOOKUP(G34,104:104,105:105)-LOOKUP(C34,104:104,105:105)+100</f>
        <v>96</v>
      </c>
      <c r="I34" s="1632">
        <f>Sheet2!D149</f>
        <v>251</v>
      </c>
      <c r="J34" s="1626">
        <f>LOOKUP(I34,104:104,105:105)-LOOKUP(C34,104:104,105:105)+100</f>
        <v>102</v>
      </c>
      <c r="K34" s="1918"/>
      <c r="L34" s="2919"/>
      <c r="M34" s="1988"/>
      <c r="N34" s="1988"/>
      <c r="O34" s="1988"/>
      <c r="P34" s="3571"/>
      <c r="Q34" s="1695" t="str">
        <f t="shared" si="11"/>
        <v>项目建筑规模</v>
      </c>
      <c r="R34" s="1696" t="s">
        <v>25</v>
      </c>
      <c r="S34" s="1697">
        <f t="shared" si="12"/>
        <v>102</v>
      </c>
      <c r="T34" s="1696" t="s">
        <v>25</v>
      </c>
      <c r="U34" s="1697">
        <f t="shared" si="13"/>
        <v>96</v>
      </c>
      <c r="V34" s="1696" t="s">
        <v>25</v>
      </c>
      <c r="W34" s="1697">
        <f t="shared" si="14"/>
        <v>102</v>
      </c>
      <c r="X34" s="1698"/>
      <c r="Y34" s="3571"/>
      <c r="Z34" s="1699" t="str">
        <f t="shared" si="15"/>
        <v>项目建筑规模</v>
      </c>
      <c r="AA34" s="1998">
        <f t="shared" si="3"/>
        <v>0.98039215686274506</v>
      </c>
      <c r="AB34" s="1998">
        <f t="shared" si="4"/>
        <v>1.0416666666666667</v>
      </c>
      <c r="AC34" s="1998">
        <f t="shared" si="5"/>
        <v>0.98039215686274506</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1"/>
      <c r="Q35" s="2834" t="str">
        <f t="shared" si="11"/>
        <v>建筑结构</v>
      </c>
      <c r="R35" s="1654" t="s">
        <v>25</v>
      </c>
      <c r="S35" s="1655">
        <f t="shared" si="12"/>
        <v>100</v>
      </c>
      <c r="T35" s="1654" t="s">
        <v>25</v>
      </c>
      <c r="U35" s="1655">
        <f t="shared" si="13"/>
        <v>100</v>
      </c>
      <c r="V35" s="1654" t="s">
        <v>25</v>
      </c>
      <c r="W35" s="1655">
        <f t="shared" si="14"/>
        <v>100</v>
      </c>
      <c r="X35" s="2003"/>
      <c r="Y35" s="3571"/>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1"/>
      <c r="Q36" s="2834" t="str">
        <f t="shared" si="11"/>
        <v>公共部分装修</v>
      </c>
      <c r="R36" s="1654" t="s">
        <v>25</v>
      </c>
      <c r="S36" s="1655">
        <f t="shared" si="12"/>
        <v>100</v>
      </c>
      <c r="T36" s="1654" t="s">
        <v>25</v>
      </c>
      <c r="U36" s="1655">
        <f t="shared" si="13"/>
        <v>100</v>
      </c>
      <c r="V36" s="1654" t="s">
        <v>25</v>
      </c>
      <c r="W36" s="1655">
        <f t="shared" si="14"/>
        <v>100</v>
      </c>
      <c r="X36" s="2003"/>
      <c r="Y36" s="3571"/>
      <c r="Z36" s="2007" t="str">
        <f t="shared" si="15"/>
        <v>公共部分装修</v>
      </c>
      <c r="AA36" s="1998">
        <f t="shared" si="3"/>
        <v>1</v>
      </c>
      <c r="AB36" s="1998">
        <f t="shared" si="4"/>
        <v>1</v>
      </c>
      <c r="AC36" s="1998">
        <f t="shared" si="5"/>
        <v>1</v>
      </c>
    </row>
    <row r="37" spans="1:29" ht="15">
      <c r="A37" s="1701"/>
      <c r="B37" s="1624" t="s">
        <v>2124</v>
      </c>
      <c r="C37" s="1705">
        <v>0.74</v>
      </c>
      <c r="D37" s="1640">
        <v>100</v>
      </c>
      <c r="E37" s="1705">
        <v>0.74</v>
      </c>
      <c r="F37" s="1683">
        <f>LOOKUP(E37,111:111,112:112)-LOOKUP(C37,111:111,112:112)+100</f>
        <v>100</v>
      </c>
      <c r="G37" s="1705">
        <v>0.74</v>
      </c>
      <c r="H37" s="1683">
        <f>LOOKUP(G37,111:111,112:112)-LOOKUP(C37,111:111,112:112)+100</f>
        <v>100</v>
      </c>
      <c r="I37" s="1705">
        <v>0.74</v>
      </c>
      <c r="J37" s="1640">
        <f>LOOKUP(I37,111:111,112:112)-LOOKUP(C37,111:111,112:112)+100</f>
        <v>100</v>
      </c>
      <c r="K37" s="1921"/>
      <c r="L37" s="2920"/>
      <c r="M37" s="2916"/>
      <c r="N37" s="2916"/>
      <c r="O37" s="2916"/>
      <c r="P37" s="3571"/>
      <c r="Q37" s="2834" t="str">
        <f t="shared" si="11"/>
        <v>成新度</v>
      </c>
      <c r="R37" s="1654" t="s">
        <v>25</v>
      </c>
      <c r="S37" s="1655">
        <f t="shared" si="12"/>
        <v>100</v>
      </c>
      <c r="T37" s="1654" t="s">
        <v>25</v>
      </c>
      <c r="U37" s="1655">
        <f t="shared" si="13"/>
        <v>100</v>
      </c>
      <c r="V37" s="1654" t="s">
        <v>25</v>
      </c>
      <c r="W37" s="1655">
        <f t="shared" si="14"/>
        <v>100</v>
      </c>
      <c r="X37" s="2003"/>
      <c r="Y37" s="3571"/>
      <c r="Z37" s="2007" t="str">
        <f t="shared" si="15"/>
        <v>成新度</v>
      </c>
      <c r="AA37" s="1998">
        <f t="shared" si="3"/>
        <v>1</v>
      </c>
      <c r="AB37" s="1998">
        <f t="shared" si="4"/>
        <v>1</v>
      </c>
      <c r="AC37" s="1998">
        <f t="shared" si="5"/>
        <v>1</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1"/>
      <c r="Q38" s="2833" t="str">
        <f t="shared" si="11"/>
        <v>写字楼等级</v>
      </c>
      <c r="R38" s="1609" t="s">
        <v>25</v>
      </c>
      <c r="S38" s="1610">
        <f t="shared" si="12"/>
        <v>100</v>
      </c>
      <c r="T38" s="1609" t="s">
        <v>25</v>
      </c>
      <c r="U38" s="1610">
        <f t="shared" si="13"/>
        <v>100</v>
      </c>
      <c r="V38" s="1609" t="s">
        <v>25</v>
      </c>
      <c r="W38" s="1610">
        <f t="shared" si="14"/>
        <v>100</v>
      </c>
      <c r="X38" s="1611"/>
      <c r="Y38" s="3571"/>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1" t="s">
        <v>2036</v>
      </c>
      <c r="Q39" s="2834" t="str">
        <f t="shared" si="11"/>
        <v>物业管理</v>
      </c>
      <c r="R39" s="1654" t="s">
        <v>25</v>
      </c>
      <c r="S39" s="1655">
        <f t="shared" si="12"/>
        <v>100</v>
      </c>
      <c r="T39" s="1654" t="s">
        <v>25</v>
      </c>
      <c r="U39" s="1655">
        <f t="shared" si="13"/>
        <v>100</v>
      </c>
      <c r="V39" s="1654" t="s">
        <v>25</v>
      </c>
      <c r="W39" s="1655">
        <f t="shared" si="14"/>
        <v>100</v>
      </c>
      <c r="X39" s="2003"/>
      <c r="Y39" s="3571"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1"/>
      <c r="Q40" s="2834" t="str">
        <f t="shared" si="11"/>
        <v>市政基础设施</v>
      </c>
      <c r="R40" s="1654" t="s">
        <v>25</v>
      </c>
      <c r="S40" s="1655">
        <f t="shared" si="12"/>
        <v>100</v>
      </c>
      <c r="T40" s="1654" t="s">
        <v>25</v>
      </c>
      <c r="U40" s="1655">
        <f t="shared" si="13"/>
        <v>100</v>
      </c>
      <c r="V40" s="1654" t="s">
        <v>25</v>
      </c>
      <c r="W40" s="1655">
        <f t="shared" si="14"/>
        <v>100</v>
      </c>
      <c r="X40" s="2003"/>
      <c r="Y40" s="3571"/>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1"/>
      <c r="Q41" s="2834" t="str">
        <f t="shared" si="11"/>
        <v>层高</v>
      </c>
      <c r="R41" s="1654" t="s">
        <v>25</v>
      </c>
      <c r="S41" s="1655">
        <f t="shared" si="12"/>
        <v>100</v>
      </c>
      <c r="T41" s="1654" t="s">
        <v>25</v>
      </c>
      <c r="U41" s="1655">
        <f t="shared" si="13"/>
        <v>100</v>
      </c>
      <c r="V41" s="1654" t="s">
        <v>25</v>
      </c>
      <c r="W41" s="1655">
        <f t="shared" si="14"/>
        <v>100</v>
      </c>
      <c r="X41" s="2003"/>
      <c r="Y41" s="3571"/>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1"/>
      <c r="Q42" s="1695" t="str">
        <f t="shared" si="11"/>
        <v>单套建筑面积</v>
      </c>
      <c r="R42" s="1696" t="s">
        <v>25</v>
      </c>
      <c r="S42" s="1697">
        <f t="shared" si="12"/>
        <v>100</v>
      </c>
      <c r="T42" s="1696" t="s">
        <v>25</v>
      </c>
      <c r="U42" s="1697">
        <f t="shared" si="13"/>
        <v>100</v>
      </c>
      <c r="V42" s="1696" t="s">
        <v>25</v>
      </c>
      <c r="W42" s="1697">
        <f t="shared" si="14"/>
        <v>100</v>
      </c>
      <c r="X42" s="1698"/>
      <c r="Y42" s="3571"/>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71"/>
      <c r="Q43" s="2834" t="str">
        <f t="shared" si="11"/>
        <v>内部装修</v>
      </c>
      <c r="R43" s="1654" t="s">
        <v>25</v>
      </c>
      <c r="S43" s="1655">
        <f t="shared" si="12"/>
        <v>100</v>
      </c>
      <c r="T43" s="1654" t="s">
        <v>25</v>
      </c>
      <c r="U43" s="1655">
        <f t="shared" si="13"/>
        <v>100</v>
      </c>
      <c r="V43" s="1654" t="s">
        <v>25</v>
      </c>
      <c r="W43" s="1655">
        <f t="shared" si="14"/>
        <v>100</v>
      </c>
      <c r="X43" s="2003"/>
      <c r="Y43" s="3571"/>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1"/>
      <c r="Q44" s="2834" t="str">
        <f t="shared" si="11"/>
        <v>内部装修维护情况</v>
      </c>
      <c r="R44" s="1654" t="s">
        <v>25</v>
      </c>
      <c r="S44" s="1655">
        <f t="shared" si="12"/>
        <v>100</v>
      </c>
      <c r="T44" s="1654" t="s">
        <v>25</v>
      </c>
      <c r="U44" s="1655">
        <f t="shared" si="13"/>
        <v>100</v>
      </c>
      <c r="V44" s="1654" t="s">
        <v>25</v>
      </c>
      <c r="W44" s="1655">
        <f t="shared" si="14"/>
        <v>100</v>
      </c>
      <c r="X44" s="2003"/>
      <c r="Y44" s="3571"/>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1"/>
      <c r="Q45" s="2833">
        <f t="shared" si="11"/>
        <v>111</v>
      </c>
      <c r="R45" s="1609" t="s">
        <v>25</v>
      </c>
      <c r="S45" s="1610">
        <f t="shared" si="12"/>
        <v>100</v>
      </c>
      <c r="T45" s="1609" t="s">
        <v>25</v>
      </c>
      <c r="U45" s="1610">
        <f t="shared" si="13"/>
        <v>100</v>
      </c>
      <c r="V45" s="1609" t="s">
        <v>25</v>
      </c>
      <c r="W45" s="1610">
        <f t="shared" si="14"/>
        <v>100</v>
      </c>
      <c r="X45" s="1611"/>
      <c r="Y45" s="3571"/>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1"/>
      <c r="Q46" s="2834">
        <f t="shared" si="11"/>
        <v>111</v>
      </c>
      <c r="R46" s="1654" t="s">
        <v>25</v>
      </c>
      <c r="S46" s="1655">
        <f t="shared" si="12"/>
        <v>100</v>
      </c>
      <c r="T46" s="1654" t="s">
        <v>25</v>
      </c>
      <c r="U46" s="1655">
        <f t="shared" si="13"/>
        <v>100</v>
      </c>
      <c r="V46" s="1654" t="s">
        <v>25</v>
      </c>
      <c r="W46" s="1655">
        <f t="shared" si="14"/>
        <v>100</v>
      </c>
      <c r="X46" s="2003"/>
      <c r="Y46" s="3571"/>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2"/>
      <c r="Q47" s="2834">
        <f t="shared" si="11"/>
        <v>111</v>
      </c>
      <c r="R47" s="1654" t="s">
        <v>25</v>
      </c>
      <c r="S47" s="1655">
        <f t="shared" si="12"/>
        <v>100</v>
      </c>
      <c r="T47" s="1654" t="s">
        <v>25</v>
      </c>
      <c r="U47" s="1655">
        <f t="shared" si="13"/>
        <v>100</v>
      </c>
      <c r="V47" s="1654" t="s">
        <v>25</v>
      </c>
      <c r="W47" s="1655">
        <f t="shared" si="14"/>
        <v>100</v>
      </c>
      <c r="X47" s="2003"/>
      <c r="Y47" s="3572"/>
      <c r="Z47" s="2007">
        <f t="shared" si="15"/>
        <v>111</v>
      </c>
      <c r="AA47" s="1998">
        <f t="shared" si="3"/>
        <v>1</v>
      </c>
      <c r="AB47" s="1998">
        <f t="shared" si="4"/>
        <v>1</v>
      </c>
      <c r="AC47" s="1998">
        <f t="shared" si="5"/>
        <v>1</v>
      </c>
    </row>
    <row r="48" spans="1:29" ht="15">
      <c r="A48" s="1710" t="s">
        <v>2048</v>
      </c>
      <c r="B48" s="1711"/>
      <c r="C48" s="1712" t="s">
        <v>1</v>
      </c>
      <c r="D48" s="1713"/>
      <c r="E48" s="1714">
        <f>Sheet2!F148</f>
        <v>33000</v>
      </c>
      <c r="F48" s="1715"/>
      <c r="G48" s="1716">
        <f>Sheet2!F146</f>
        <v>30000</v>
      </c>
      <c r="H48" s="1717"/>
      <c r="I48" s="1714">
        <f>Sheet2!F149</f>
        <v>33100</v>
      </c>
      <c r="J48" s="1717"/>
      <c r="K48" s="1942"/>
      <c r="L48" s="2921"/>
      <c r="M48" s="2916"/>
      <c r="N48" s="2916"/>
      <c r="O48" s="2916"/>
      <c r="P48" s="3565" t="str">
        <f>A48</f>
        <v>成交单价（元/平方米）</v>
      </c>
      <c r="Q48" s="3565"/>
      <c r="R48" s="3566">
        <f>E48</f>
        <v>33000</v>
      </c>
      <c r="S48" s="3566"/>
      <c r="T48" s="3566">
        <f>G48</f>
        <v>30000</v>
      </c>
      <c r="U48" s="3566"/>
      <c r="V48" s="3566">
        <f>I48</f>
        <v>33100</v>
      </c>
      <c r="W48" s="3566"/>
      <c r="X48" s="1720"/>
      <c r="Y48" s="2002"/>
      <c r="Z48" s="1720"/>
      <c r="AA48" s="1720"/>
      <c r="AB48" s="1720"/>
      <c r="AC48" s="1720"/>
    </row>
    <row r="49" spans="1:29" ht="15.75" thickBot="1">
      <c r="A49" s="1722" t="s">
        <v>2131</v>
      </c>
      <c r="B49" s="1723"/>
      <c r="C49" s="1724">
        <f>R50</f>
        <v>33318</v>
      </c>
      <c r="D49" s="1725" t="s">
        <v>2502</v>
      </c>
      <c r="E49" s="1726">
        <f>R49</f>
        <v>35243</v>
      </c>
      <c r="F49" s="1727"/>
      <c r="G49" s="1724">
        <f>T49</f>
        <v>32895</v>
      </c>
      <c r="H49" s="1727"/>
      <c r="I49" s="1726">
        <f>V49</f>
        <v>31815</v>
      </c>
      <c r="J49" s="1727"/>
      <c r="K49" s="2429">
        <f>F49+H49+J49</f>
        <v>0</v>
      </c>
      <c r="L49" s="2921"/>
      <c r="M49" s="2916"/>
      <c r="N49" s="2916"/>
      <c r="O49" s="2916"/>
      <c r="P49" s="3565" t="str">
        <f>A49</f>
        <v>比较价值（元/平方米）</v>
      </c>
      <c r="Q49" s="3565"/>
      <c r="R49" s="3566">
        <f>IF(E1="售价",ROUND(PRODUCT(R48,AA7:AA47),0),ROUND(PRODUCT(R48,AA7:AA47),1))</f>
        <v>35243</v>
      </c>
      <c r="S49" s="3566"/>
      <c r="T49" s="3566">
        <f>IF(E1="售价",ROUND(PRODUCT(T48,AB7:AB47),0),ROUND(PRODUCT(T48,AB7:AB47),1))</f>
        <v>32895</v>
      </c>
      <c r="U49" s="3566"/>
      <c r="V49" s="3566">
        <f>IF(E1="售价",ROUND(PRODUCT(V48,AC7:AC47),0),ROUND(PRODUCT(V48,AC7:AC47),1))</f>
        <v>31815</v>
      </c>
      <c r="W49" s="3566"/>
      <c r="X49" s="1720"/>
      <c r="Y49" s="1720"/>
      <c r="Z49" s="1720"/>
      <c r="AA49" s="1720"/>
      <c r="AB49" s="1720"/>
      <c r="AC49" s="1720"/>
    </row>
    <row r="50" spans="1:29" ht="15.75" thickBot="1">
      <c r="A50" s="1728" t="s">
        <v>2154</v>
      </c>
      <c r="B50" s="1729"/>
      <c r="C50" s="1731">
        <f>R50</f>
        <v>33318</v>
      </c>
      <c r="D50" s="1731"/>
      <c r="E50" s="1731"/>
      <c r="F50" s="1731"/>
      <c r="G50" s="1731"/>
      <c r="H50" s="1731"/>
      <c r="I50" s="1731"/>
      <c r="J50" s="1731"/>
      <c r="K50" s="1947"/>
      <c r="L50" s="2921"/>
      <c r="M50" s="2916"/>
      <c r="N50" s="2916"/>
      <c r="O50" s="2916"/>
      <c r="P50" s="3567" t="str">
        <f>A50</f>
        <v>估价对象XX用房的比较价值（楼面单价，元/平方米）</v>
      </c>
      <c r="Q50" s="3568"/>
      <c r="R50" s="3569">
        <f>IF(E1="售价",ROUND(IF(D49="简单平均",AVERAGE(R49:V49),R49*F49+T49*H49+V49*J49),0),ROUND(IF(D49="简单平均",AVERAGE(R49:V49),R49*F49+T49*H49+V49*J49),1))</f>
        <v>33318</v>
      </c>
      <c r="S50" s="3569"/>
      <c r="T50" s="3569"/>
      <c r="U50" s="3569"/>
      <c r="V50" s="3569"/>
      <c r="W50" s="3569"/>
      <c r="X50" s="1720"/>
      <c r="Y50" s="1720"/>
      <c r="Z50" s="1720"/>
      <c r="AA50" s="1720"/>
      <c r="AB50" s="1720"/>
      <c r="AC50" s="1720"/>
    </row>
    <row r="51" spans="1:29">
      <c r="G51" s="2925"/>
    </row>
    <row r="53" spans="1:29" ht="13.5" customHeight="1">
      <c r="C53" s="383" t="s">
        <v>2133</v>
      </c>
      <c r="D53" s="1736"/>
      <c r="E53" s="1737">
        <f>IF(E48&lt;E49,E49/E48-1,E48/E49-1)</f>
        <v>6.7969696969697013E-2</v>
      </c>
      <c r="F53" s="1738" t="str">
        <f>IF(OR(E53&gt;=0.3,E53&lt;=-0.3),"超过30%","")</f>
        <v/>
      </c>
      <c r="G53" s="1737">
        <f>IF(G48&lt;G49,G49/G48-1,G48/G49-1)</f>
        <v>9.650000000000003E-2</v>
      </c>
      <c r="H53" s="1738" t="str">
        <f>IF(OR(G53&gt;=0.3,G53&lt;=-0.3),"超过30%","")</f>
        <v/>
      </c>
      <c r="I53" s="1737">
        <f>IF(I48&lt;I49,I49/I48-1,I48/I49-1)</f>
        <v>4.038975326104044E-2</v>
      </c>
      <c r="J53" s="1738" t="str">
        <f>IF(OR(I53&gt;=0.3,I53&lt;=-0.3),"超过30%","")</f>
        <v/>
      </c>
    </row>
    <row r="54" spans="1:29" ht="13.5" customHeight="1">
      <c r="C54" s="383" t="s">
        <v>2134</v>
      </c>
      <c r="D54" s="1739"/>
      <c r="E54" s="1737">
        <f>IF(E49&lt;G49,G49/E49-1,E49/G49-1)</f>
        <v>7.1378628970968139E-2</v>
      </c>
      <c r="F54" s="1738" t="str">
        <f>IF(OR(E54&gt;=0.2,E54&lt;=-0.2),"超过20%","")</f>
        <v/>
      </c>
      <c r="G54" s="1737">
        <f>IF(G49&lt;I49,I49/G49-1,G49/I49-1)</f>
        <v>3.3946251768034008E-2</v>
      </c>
      <c r="H54" s="1738" t="str">
        <f>IF(OR(G54&gt;=0.2,G54&lt;=-0.2),"超过20%","")</f>
        <v/>
      </c>
      <c r="I54" s="1737">
        <f>IF(I49&lt;E49,E49/I49-1,I49/E49-1)</f>
        <v>0.10774791764890779</v>
      </c>
      <c r="J54" s="1738" t="str">
        <f>IF(OR(I54&gt;=0.2,I54&lt;=-0.2),"超过20%","")</f>
        <v/>
      </c>
    </row>
    <row r="55" spans="1:29" s="1742" customFormat="1" ht="13.5" customHeight="1">
      <c r="C55" s="383" t="s">
        <v>2135</v>
      </c>
      <c r="D55" s="1739"/>
      <c r="E55" s="1737">
        <f>IF(E48&lt;G48,G48/E48-1,E48/G48-1)</f>
        <v>0.10000000000000009</v>
      </c>
      <c r="F55" s="1738" t="str">
        <f>IF(OR(E55&gt;=0.3,E55&lt;=-0.3),"超过30%","")</f>
        <v/>
      </c>
      <c r="G55" s="1737">
        <f>IF(G48&lt;I48,I48/G48-1,G48/I48-1)</f>
        <v>0.10333333333333328</v>
      </c>
      <c r="H55" s="1738" t="str">
        <f>IF(OR(G55&gt;=0.3,G55&lt;=-0.3),"超过30%","")</f>
        <v/>
      </c>
      <c r="I55" s="1737">
        <f>IF(I48&lt;E48,E48/I48-1,I48/E48-1)</f>
        <v>3.0303030303029388E-3</v>
      </c>
      <c r="J55" s="1738" t="str">
        <f>IF(OR(I55&gt;=0.3,I55&lt;=-0.3),"超过30%","")</f>
        <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2018</v>
      </c>
      <c r="B59" s="1752"/>
      <c r="C59" s="1753" t="str">
        <f>YEAR(C7)&amp;"-"&amp;MONTH(C7)</f>
        <v>2022-4</v>
      </c>
      <c r="D59" s="1754">
        <f>EDATE(C59,-1)</f>
        <v>44621</v>
      </c>
      <c r="E59" s="1754">
        <f t="shared" ref="E59:O59" si="16">EDATE(D59,-1)</f>
        <v>44593</v>
      </c>
      <c r="F59" s="1754">
        <f t="shared" si="16"/>
        <v>44562</v>
      </c>
      <c r="G59" s="1754">
        <f t="shared" si="16"/>
        <v>44531</v>
      </c>
      <c r="H59" s="1754">
        <f t="shared" si="16"/>
        <v>44501</v>
      </c>
      <c r="I59" s="1754">
        <f t="shared" si="16"/>
        <v>44470</v>
      </c>
      <c r="J59" s="1754">
        <f t="shared" si="16"/>
        <v>44440</v>
      </c>
      <c r="K59" s="1754">
        <f t="shared" si="16"/>
        <v>44409</v>
      </c>
      <c r="L59" s="1754">
        <f t="shared" si="16"/>
        <v>44378</v>
      </c>
      <c r="M59" s="1754">
        <f t="shared" si="16"/>
        <v>44348</v>
      </c>
      <c r="N59" s="1754">
        <f t="shared" si="16"/>
        <v>44317</v>
      </c>
      <c r="O59" s="1754">
        <f t="shared" si="16"/>
        <v>44287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2024</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2028</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8" t="s">
        <v>3056</v>
      </c>
      <c r="D89" s="3328" t="s">
        <v>3055</v>
      </c>
      <c r="E89" s="3328" t="s">
        <v>3057</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95</v>
      </c>
      <c r="E90" s="1791">
        <f t="shared" ref="E90:M90" si="20">D90-$K27</f>
        <v>90</v>
      </c>
      <c r="F90" s="1791">
        <f t="shared" si="20"/>
        <v>85</v>
      </c>
      <c r="G90" s="1791">
        <f t="shared" si="20"/>
        <v>80</v>
      </c>
      <c r="H90" s="1791">
        <f t="shared" si="20"/>
        <v>75</v>
      </c>
      <c r="I90" s="1791">
        <f t="shared" si="20"/>
        <v>70</v>
      </c>
      <c r="J90" s="1791">
        <f t="shared" si="20"/>
        <v>65</v>
      </c>
      <c r="K90" s="1791">
        <f t="shared" si="20"/>
        <v>60</v>
      </c>
      <c r="L90" s="1791">
        <f t="shared" si="20"/>
        <v>55</v>
      </c>
      <c r="M90" s="1791">
        <f t="shared" si="20"/>
        <v>50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2034</v>
      </c>
      <c r="B101" s="1776" t="s">
        <v>2083</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2084</v>
      </c>
      <c r="C103" s="579" t="str">
        <f>C104&amp;"(含)"&amp;"-"&amp;D104</f>
        <v>0(含)-200</v>
      </c>
      <c r="D103" s="579" t="str">
        <f t="shared" ref="D103:L103" si="23">D104&amp;"(含)"&amp;"-"&amp;E104</f>
        <v>200(含)-500</v>
      </c>
      <c r="E103" s="579" t="str">
        <f t="shared" si="23"/>
        <v>500(含)-1000</v>
      </c>
      <c r="F103" s="579" t="str">
        <f t="shared" si="23"/>
        <v>1000(含)-1500</v>
      </c>
      <c r="G103" s="579" t="str">
        <f t="shared" si="23"/>
        <v>1500(含)-2500</v>
      </c>
      <c r="H103" s="579" t="str">
        <f t="shared" si="23"/>
        <v>2500(含)-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1500</v>
      </c>
      <c r="H104" s="1830">
        <v>2500</v>
      </c>
      <c r="I104" s="1830"/>
      <c r="J104" s="485"/>
      <c r="K104" s="485"/>
      <c r="L104" s="485"/>
      <c r="M104" s="1831"/>
      <c r="N104" s="2936"/>
      <c r="O104" s="2936"/>
      <c r="P104" s="1987"/>
      <c r="Q104" s="1802"/>
    </row>
    <row r="105" spans="1:17" s="1700" customFormat="1" ht="15.75" thickBot="1">
      <c r="A105" s="1798"/>
      <c r="B105" s="1790"/>
      <c r="C105" s="1803">
        <v>98</v>
      </c>
      <c r="D105" s="1784">
        <v>100</v>
      </c>
      <c r="E105" s="1784">
        <v>98</v>
      </c>
      <c r="F105" s="1784">
        <v>96</v>
      </c>
      <c r="G105" s="1784">
        <v>94</v>
      </c>
      <c r="H105" s="1784">
        <v>92</v>
      </c>
      <c r="I105" s="1784"/>
      <c r="J105" s="1784"/>
      <c r="K105" s="1784"/>
      <c r="L105" s="1784"/>
      <c r="M105" s="1785"/>
      <c r="N105" s="2935"/>
      <c r="O105" s="2935"/>
      <c r="P105" s="1987"/>
      <c r="Q105" s="1802"/>
    </row>
    <row r="106" spans="1:17" ht="15" thickTop="1">
      <c r="A106" s="1832"/>
      <c r="B106" s="1787" t="s">
        <v>2085</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2087</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2089</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2090</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2159</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557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31618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347902</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347468</v>
      </c>
      <c r="D6" s="36" t="s">
        <v>2460</v>
      </c>
      <c r="E6" s="235" t="s">
        <v>1776</v>
      </c>
      <c r="F6" s="236">
        <f>'数据-取费表'!B30</f>
        <v>6</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176.29</v>
      </c>
      <c r="G7" s="909"/>
      <c r="H7" s="237"/>
      <c r="I7" s="238"/>
      <c r="J7" s="239"/>
      <c r="K7" s="240"/>
      <c r="L7" s="235" t="s">
        <v>1777</v>
      </c>
      <c r="M7" s="236">
        <f>IF('数据-取费表'!B42="",IF(D1="仅计算典型户型",'数据-取费表'!E5,'数据-取费表'!B5),'数据-取费表'!B42)</f>
        <v>176.29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434</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752758</v>
      </c>
      <c r="D13" s="1023" t="s">
        <v>1791</v>
      </c>
      <c r="E13" s="1023" t="s">
        <v>1792</v>
      </c>
      <c r="F13" s="1024">
        <f>'数据-取费表'!E20</f>
        <v>0.74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705160</v>
      </c>
      <c r="D14" s="1256" t="s">
        <v>1795</v>
      </c>
      <c r="E14" s="1257"/>
      <c r="F14" s="757"/>
      <c r="G14" s="910"/>
      <c r="H14" s="253" t="s">
        <v>1774</v>
      </c>
      <c r="I14" s="235" t="s">
        <v>1796</v>
      </c>
      <c r="J14" s="13">
        <f ca="1">C29</f>
        <v>1017240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21155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18847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35258</v>
      </c>
      <c r="D17" s="235" t="s">
        <v>1809</v>
      </c>
      <c r="E17" s="235" t="s">
        <v>1810</v>
      </c>
      <c r="F17" s="15">
        <f>'数据-取费表'!E23</f>
        <v>200</v>
      </c>
      <c r="G17" s="910"/>
      <c r="H17" s="253" t="s">
        <v>1811</v>
      </c>
      <c r="I17" s="235" t="s">
        <v>1812</v>
      </c>
      <c r="J17" s="2745">
        <f ca="1">ROUND(IF(AND(项目基本情况!B7="自然人",项目基本情况!B6="北京市"),J6*M17/(1+'数据-取费表'!F30),J18+J19+J20),0)</f>
        <v>8675</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10577</v>
      </c>
      <c r="D18" s="235" t="s">
        <v>1799</v>
      </c>
      <c r="E18" s="235" t="s">
        <v>1800</v>
      </c>
      <c r="F18" s="258">
        <f>'数据-取费表'!E24</f>
        <v>1.4999999999999999E-2</v>
      </c>
      <c r="G18" s="909"/>
      <c r="H18" s="253" t="s">
        <v>1817</v>
      </c>
      <c r="I18" s="235" t="s">
        <v>1818</v>
      </c>
      <c r="J18" s="13">
        <f>IF(项目基本情况!B7="自然人","——",ROUND(J6*M18/(1+'数据-取费表'!F30),0))</f>
        <v>0</v>
      </c>
      <c r="K18" s="1259" t="s">
        <v>2486</v>
      </c>
      <c r="L18" s="235" t="s">
        <v>1800</v>
      </c>
      <c r="M18" s="258">
        <f>'数据-取费表'!E29</f>
        <v>5.6000000000000001E-2</v>
      </c>
    </row>
    <row r="19" spans="1:37" s="257" customFormat="1" ht="18" customHeight="1">
      <c r="A19" s="253" t="s">
        <v>1811</v>
      </c>
      <c r="B19" s="235" t="s">
        <v>1819</v>
      </c>
      <c r="C19" s="13">
        <f>SUM(C14:C18)</f>
        <v>772150</v>
      </c>
      <c r="D19" s="33" t="s">
        <v>1820</v>
      </c>
      <c r="E19" s="1261"/>
      <c r="F19" s="15"/>
      <c r="G19" s="910"/>
      <c r="H19" s="253" t="s">
        <v>1797</v>
      </c>
      <c r="I19" s="235" t="s">
        <v>1821</v>
      </c>
      <c r="J19" s="13">
        <f ca="1">IF(项目基本情况!B7="自然人","——",IF(K19="按租金收入计税",ROUND(J6*M19/(1+'数据-取费表'!F30),0),ROUND(C29*M19*0.7,0)))</f>
        <v>8545</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15443</v>
      </c>
      <c r="D20" s="259" t="s">
        <v>1824</v>
      </c>
      <c r="E20" s="235" t="s">
        <v>1825</v>
      </c>
      <c r="F20" s="258">
        <f>'数据-取费表'!E25</f>
        <v>0.02</v>
      </c>
      <c r="G20" s="910"/>
      <c r="H20" s="253" t="s">
        <v>1803</v>
      </c>
      <c r="I20" s="36" t="s">
        <v>1826</v>
      </c>
      <c r="J20" s="14">
        <f>IF(项目基本情况!B7="自然人","——",ROUND(M20*M21,0))</f>
        <v>130</v>
      </c>
      <c r="K20" s="261" t="s">
        <v>1827</v>
      </c>
      <c r="L20" s="235" t="s">
        <v>1828</v>
      </c>
      <c r="M20" s="262">
        <f>'数据-取费表'!E40</f>
        <v>3</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43.2</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10172</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33079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-18847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118139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1017240</v>
      </c>
      <c r="D29" s="1034"/>
      <c r="E29" s="1032"/>
      <c r="F29" s="1035"/>
      <c r="G29" s="652"/>
      <c r="H29" s="271" t="s">
        <v>24</v>
      </c>
      <c r="I29" s="272" t="s">
        <v>1869</v>
      </c>
      <c r="J29" s="273">
        <f ca="1">ROUND(J26/(1+F40)^F41,0)</f>
        <v>0</v>
      </c>
      <c r="K29" s="274" t="s">
        <v>1870</v>
      </c>
      <c r="L29" s="275"/>
      <c r="M29" s="276">
        <f>IF(D1="仅计算典型户型",'数据-取费表'!E5,'数据-取费表'!B5)</f>
        <v>176.29</v>
      </c>
    </row>
    <row r="30" spans="1:37" ht="18" customHeight="1" thickTop="1">
      <c r="A30" s="1021" t="s">
        <v>14</v>
      </c>
      <c r="B30" s="1022" t="s">
        <v>1871</v>
      </c>
      <c r="C30" s="243">
        <f ca="1">ROUND(C31+C36+C37+C38,0)</f>
        <v>76256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58373</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18532</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39711</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130</v>
      </c>
      <c r="D34" s="261" t="s">
        <v>1827</v>
      </c>
      <c r="E34" s="235" t="s">
        <v>1828</v>
      </c>
      <c r="F34" s="262">
        <f>'数据-取费表'!E40</f>
        <v>3</v>
      </c>
      <c r="G34" s="652"/>
      <c r="H34" s="889"/>
      <c r="I34" s="280" t="s">
        <v>1878</v>
      </c>
      <c r="J34" s="281">
        <f ca="1">ROUND(C13*J35,0)</f>
        <v>52693</v>
      </c>
      <c r="K34" s="903"/>
      <c r="L34" s="904"/>
      <c r="M34" s="904"/>
    </row>
    <row r="35" spans="1:18" ht="24.6" customHeight="1">
      <c r="A35" s="1019"/>
      <c r="B35" s="244"/>
      <c r="C35" s="17"/>
      <c r="D35" s="264"/>
      <c r="E35" s="235" t="s">
        <v>1833</v>
      </c>
      <c r="F35" s="236">
        <f>IF(D1="仅计算典型户型",'数据-取费表'!E6,'数据-取费表'!B6)</f>
        <v>43.2</v>
      </c>
      <c r="G35" s="652" t="s">
        <v>2573</v>
      </c>
      <c r="H35" s="889"/>
      <c r="I35" s="282" t="s">
        <v>1879</v>
      </c>
      <c r="J35" s="283">
        <f>'数据-取费表'!B18</f>
        <v>7.0000000000000007E-2</v>
      </c>
      <c r="K35" s="902"/>
      <c r="L35" s="901"/>
      <c r="M35" s="901"/>
    </row>
    <row r="36" spans="1:18" ht="18" customHeight="1">
      <c r="A36" s="1018" t="s">
        <v>1781</v>
      </c>
      <c r="B36" s="235" t="s">
        <v>1880</v>
      </c>
      <c r="C36" s="13">
        <f ca="1">ROUND(C29*F36,0)</f>
        <v>10172</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753</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6958</v>
      </c>
      <c r="D38" s="1034" t="s">
        <v>1846</v>
      </c>
      <c r="E38" s="1032" t="s">
        <v>1842</v>
      </c>
      <c r="F38" s="1027">
        <f>'数据-取费表'!B47</f>
        <v>0.02</v>
      </c>
      <c r="G38" s="652"/>
      <c r="H38" s="901"/>
      <c r="I38" s="280" t="s">
        <v>1884</v>
      </c>
      <c r="J38" s="136">
        <f ca="1">ROUND(J34/C39,3)</f>
        <v>0.19400000000000001</v>
      </c>
      <c r="K38" s="906"/>
      <c r="L38" s="901"/>
      <c r="M38" s="901"/>
    </row>
    <row r="39" spans="1:18" ht="18" customHeight="1" thickTop="1">
      <c r="A39" s="1021" t="s">
        <v>22</v>
      </c>
      <c r="B39" s="1036" t="s">
        <v>1885</v>
      </c>
      <c r="C39" s="243">
        <f ca="1">C5-C30</f>
        <v>271646</v>
      </c>
      <c r="D39" s="1037" t="s">
        <v>1886</v>
      </c>
      <c r="E39" s="1038"/>
      <c r="F39" s="1039"/>
      <c r="G39" s="652"/>
      <c r="H39" s="901"/>
      <c r="I39" s="280" t="s">
        <v>1887</v>
      </c>
      <c r="J39" s="136">
        <f ca="1">1-J38</f>
        <v>0.80600000000000005</v>
      </c>
      <c r="K39" s="906"/>
      <c r="L39" s="901"/>
      <c r="M39" s="901"/>
    </row>
    <row r="40" spans="1:18" s="652" customFormat="1" ht="18" customHeight="1">
      <c r="A40" s="232" t="s">
        <v>23</v>
      </c>
      <c r="B40" s="233" t="s">
        <v>1888</v>
      </c>
      <c r="C40" s="234">
        <f ca="1">ROUND(C39*(1-((1+F42)/(1+F40))^F41)/(F40-F42),0)</f>
        <v>5574005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2468</v>
      </c>
      <c r="F41" s="270">
        <f>IF('数据-取费表'!B29="租赁期内按合同租金",'数据-取费表'!B35,IF(E41="收益年期(n)",'数据-取费表'!B34,'数据-取费表'!B13))</f>
        <v>30</v>
      </c>
      <c r="H41" s="908"/>
      <c r="I41" s="135" t="s">
        <v>1762</v>
      </c>
      <c r="J41" s="136">
        <f ca="1">ROUND(C13/C40,3)</f>
        <v>0.13500000000000001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0.86499999999999999</v>
      </c>
      <c r="K42" s="905"/>
      <c r="L42" s="908"/>
      <c r="M42" s="908"/>
      <c r="Q42" s="656"/>
    </row>
    <row r="43" spans="1:18" s="652" customFormat="1" ht="18" customHeight="1" thickBot="1">
      <c r="A43" s="271" t="s">
        <v>24</v>
      </c>
      <c r="B43" s="272" t="s">
        <v>1891</v>
      </c>
      <c r="C43" s="273">
        <f ca="1">ROUND(C40/F43,0)</f>
        <v>31618</v>
      </c>
      <c r="D43" s="274" t="s">
        <v>1892</v>
      </c>
      <c r="E43" s="275" t="s">
        <v>1893</v>
      </c>
      <c r="F43" s="276">
        <f>IF(D1="仅计算典型户型",'数据-取费表'!E5,'数据-取费表'!B5)</f>
        <v>176.29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5574005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-698</v>
      </c>
      <c r="D47" s="1456" t="str">
        <f>C2</f>
        <v>万元</v>
      </c>
      <c r="E47" s="649"/>
      <c r="F47" s="649"/>
      <c r="I47" s="1457" t="s">
        <v>1904</v>
      </c>
      <c r="J47" s="981"/>
      <c r="K47" s="982"/>
      <c r="L47" s="995" t="str">
        <f>IF(M48="住宅",0,IF(L49&gt;J52,L61,J61))</f>
        <v>0</v>
      </c>
      <c r="O47" s="1009" t="s">
        <v>769</v>
      </c>
      <c r="P47" s="1006" t="s">
        <v>1905</v>
      </c>
      <c r="Q47" s="1007">
        <f ca="1">C29</f>
        <v>1017240</v>
      </c>
      <c r="R47" s="1008" t="s">
        <v>1900</v>
      </c>
    </row>
    <row r="48" spans="1:18" s="652" customFormat="1" ht="15.75" thickBot="1">
      <c r="A48" s="228" t="s">
        <v>1906</v>
      </c>
      <c r="B48" s="229" t="s">
        <v>1907</v>
      </c>
      <c r="C48" s="229" t="s">
        <v>1908</v>
      </c>
      <c r="D48" s="229" t="s">
        <v>1909</v>
      </c>
      <c r="E48" s="944" t="s">
        <v>1910</v>
      </c>
      <c r="F48" s="945"/>
      <c r="I48" s="1458" t="s">
        <v>1911</v>
      </c>
      <c r="J48" s="1459" t="s">
        <v>3046</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3047</v>
      </c>
      <c r="K49" s="1463" t="s">
        <v>1916</v>
      </c>
      <c r="L49" s="821">
        <f>'数据-取费表'!B13</f>
        <v>30</v>
      </c>
      <c r="O49" s="1009" t="s">
        <v>771</v>
      </c>
      <c r="P49" s="1006" t="s">
        <v>1917</v>
      </c>
      <c r="Q49" s="1010">
        <f>J53</f>
        <v>7.4999999999999997E-2</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2003</v>
      </c>
      <c r="K50" s="1465" t="s">
        <v>1921</v>
      </c>
      <c r="L50" s="984"/>
      <c r="O50" s="1009" t="s">
        <v>772</v>
      </c>
      <c r="P50" s="1006" t="s">
        <v>1922</v>
      </c>
      <c r="Q50" s="1007">
        <f>J54</f>
        <v>30</v>
      </c>
      <c r="R50" s="1008" t="s">
        <v>1923</v>
      </c>
    </row>
    <row r="51" spans="1:18" s="652" customFormat="1" ht="15.75" thickBot="1">
      <c r="A51" s="237"/>
      <c r="B51" s="238"/>
      <c r="C51" s="239"/>
      <c r="D51" s="240"/>
      <c r="E51" s="255" t="s">
        <v>1777</v>
      </c>
      <c r="F51" s="943">
        <f>F7</f>
        <v>176.29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557</v>
      </c>
      <c r="R51" s="1008" t="s">
        <v>774</v>
      </c>
    </row>
    <row r="52" spans="1:18" s="652" customFormat="1" ht="16.5" thickBot="1">
      <c r="A52" s="237"/>
      <c r="B52" s="238"/>
      <c r="C52" s="239"/>
      <c r="D52" s="240"/>
      <c r="E52" s="235" t="s">
        <v>1779</v>
      </c>
      <c r="F52" s="236">
        <f>F8</f>
        <v>365</v>
      </c>
      <c r="I52" s="1466" t="s">
        <v>1926</v>
      </c>
      <c r="J52" s="986">
        <f>IF(J50="",J51,J50+J51-YEAR('数据-取费表'!B2))</f>
        <v>41</v>
      </c>
      <c r="K52" s="1467" t="s">
        <v>1927</v>
      </c>
      <c r="L52" s="987">
        <f ca="1">ROUND(-PV('数据-取费表'!B15,J52,(C40-C13*J35)),0)</f>
        <v>95487600</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2469</v>
      </c>
      <c r="J54" s="989">
        <f>IF(M48="住宅",IF(E1="——",MAX(J52,L49),MAX(J52,L49-'数据-取费表'!B26)),IF(E1="——",MIN(J52,L49),MIN(J52,L49-'数据-取费表'!B26)))</f>
        <v>30</v>
      </c>
      <c r="K54" s="3606" t="s">
        <v>2459</v>
      </c>
      <c r="L54" s="3607"/>
      <c r="O54" s="1005" t="s">
        <v>767</v>
      </c>
      <c r="P54" s="1006" t="s">
        <v>1899</v>
      </c>
      <c r="Q54" s="1007">
        <f ca="1">C40+J29</f>
        <v>5574005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752758</v>
      </c>
      <c r="D57" s="941"/>
      <c r="E57" s="942"/>
      <c r="F57" s="949"/>
      <c r="I57" s="1475" t="s">
        <v>1936</v>
      </c>
      <c r="J57" s="993" t="s">
        <v>3044</v>
      </c>
      <c r="K57" s="1461" t="s">
        <v>1937</v>
      </c>
      <c r="L57" s="821" t="str">
        <f>IF(L49&lt;J52,"——",L49-J52)</f>
        <v>——</v>
      </c>
      <c r="O57" s="1009" t="s">
        <v>770</v>
      </c>
      <c r="P57" s="1006" t="s">
        <v>1938</v>
      </c>
      <c r="Q57" s="1010">
        <f>L53</f>
        <v>0</v>
      </c>
      <c r="R57" s="1008"/>
    </row>
    <row r="58" spans="1:18" s="652" customFormat="1" ht="29.25" thickBot="1">
      <c r="A58" s="948"/>
      <c r="B58" s="235" t="s">
        <v>1868</v>
      </c>
      <c r="C58" s="104">
        <f ca="1">C29</f>
        <v>1017240</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96503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85578</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557</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85448</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130</v>
      </c>
      <c r="D63" s="261" t="s">
        <v>1952</v>
      </c>
      <c r="E63" s="235" t="s">
        <v>1953</v>
      </c>
      <c r="F63" s="262">
        <f t="shared" si="0"/>
        <v>3</v>
      </c>
      <c r="I63" s="1479" t="s">
        <v>1954</v>
      </c>
      <c r="J63" s="1251" t="s">
        <v>1955</v>
      </c>
      <c r="K63" s="1251" t="s">
        <v>1956</v>
      </c>
      <c r="L63" s="1251" t="s">
        <v>1957</v>
      </c>
      <c r="M63" s="1250" t="s">
        <v>1958</v>
      </c>
      <c r="O63" s="1005" t="s">
        <v>767</v>
      </c>
      <c r="P63" s="1006" t="s">
        <v>1899</v>
      </c>
      <c r="Q63" s="1007">
        <f ca="1">C40+J29</f>
        <v>5574005</v>
      </c>
      <c r="R63" s="1008" t="s">
        <v>1900</v>
      </c>
    </row>
    <row r="64" spans="1:18" s="652" customFormat="1" ht="20.25" thickBot="1">
      <c r="A64" s="263"/>
      <c r="B64" s="244"/>
      <c r="C64" s="17"/>
      <c r="D64" s="264"/>
      <c r="E64" s="235" t="s">
        <v>1959</v>
      </c>
      <c r="F64" s="236">
        <f t="shared" si="0"/>
        <v>43.2</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10172</v>
      </c>
      <c r="D65" s="1259" t="s">
        <v>1881</v>
      </c>
      <c r="E65" s="235" t="s">
        <v>1825</v>
      </c>
      <c r="F65" s="265">
        <f t="shared" si="0"/>
        <v>0.01</v>
      </c>
      <c r="I65" s="1479" t="s">
        <v>1961</v>
      </c>
      <c r="J65" s="1251">
        <v>50</v>
      </c>
      <c r="K65" s="1251">
        <v>35</v>
      </c>
      <c r="L65" s="1251">
        <v>60</v>
      </c>
      <c r="M65" s="1250">
        <v>0</v>
      </c>
      <c r="O65" s="1009" t="s">
        <v>769</v>
      </c>
      <c r="P65" s="1006" t="s">
        <v>1935</v>
      </c>
      <c r="Q65" s="1011">
        <f ca="1">L52</f>
        <v>95487600</v>
      </c>
      <c r="R65" s="1012" t="s">
        <v>1962</v>
      </c>
    </row>
    <row r="66" spans="1:18" s="652" customFormat="1" ht="20.25" thickBot="1">
      <c r="A66" s="253" t="s">
        <v>20</v>
      </c>
      <c r="B66" s="235" t="s">
        <v>1840</v>
      </c>
      <c r="C66" s="13">
        <f ca="1">ROUND(C57*F66,0)</f>
        <v>753</v>
      </c>
      <c r="D66" s="1259" t="s">
        <v>1841</v>
      </c>
      <c r="E66" s="235" t="s">
        <v>1842</v>
      </c>
      <c r="F66" s="266">
        <f t="shared" si="0"/>
        <v>1E-3</v>
      </c>
      <c r="I66" s="1479" t="s">
        <v>1963</v>
      </c>
      <c r="J66" s="1251">
        <v>40</v>
      </c>
      <c r="K66" s="1251">
        <v>30</v>
      </c>
      <c r="L66" s="1251">
        <v>50</v>
      </c>
      <c r="M66" s="1249">
        <v>0.02</v>
      </c>
      <c r="O66" s="1009" t="s">
        <v>770</v>
      </c>
      <c r="P66" s="1013" t="s">
        <v>1964</v>
      </c>
      <c r="Q66" s="1007">
        <f ca="1">ROUND(Q67-Q68*Q69,0)</f>
        <v>218953</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271646</v>
      </c>
      <c r="R67" s="1008" t="s">
        <v>1900</v>
      </c>
    </row>
    <row r="68" spans="1:18" ht="15.75" thickBot="1">
      <c r="A68" s="248" t="s">
        <v>22</v>
      </c>
      <c r="B68" s="41" t="s">
        <v>1850</v>
      </c>
      <c r="C68" s="250">
        <f ca="1">C49-C59</f>
        <v>-96503</v>
      </c>
      <c r="D68" s="1256" t="s">
        <v>1851</v>
      </c>
      <c r="E68" s="1258"/>
      <c r="F68" s="268"/>
      <c r="H68" s="652"/>
      <c r="I68" s="652"/>
      <c r="J68" s="652"/>
      <c r="K68" s="652"/>
      <c r="L68" s="652"/>
      <c r="M68" s="652"/>
      <c r="O68" s="1009" t="s">
        <v>776</v>
      </c>
      <c r="P68" s="1013" t="s">
        <v>1966</v>
      </c>
      <c r="Q68" s="1007">
        <f ca="1">C13</f>
        <v>752758</v>
      </c>
      <c r="R68" s="1008" t="s">
        <v>1900</v>
      </c>
    </row>
    <row r="69" spans="1:18" ht="15.75" thickBot="1">
      <c r="A69" s="232" t="s">
        <v>23</v>
      </c>
      <c r="B69" s="233" t="s">
        <v>1888</v>
      </c>
      <c r="C69" s="234">
        <f ca="1">ROUND(C68*(1-((1+F71)/(1+F69))^F70)/(F69-F71),0)</f>
        <v>-1402550</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-7956</v>
      </c>
      <c r="D72" s="274" t="s">
        <v>1892</v>
      </c>
      <c r="E72" s="275" t="s">
        <v>1893</v>
      </c>
      <c r="F72" s="276">
        <f>F43</f>
        <v>176.29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557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608" t="s">
        <v>2652</v>
      </c>
      <c r="K2" s="3609"/>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610" t="s">
        <v>2662</v>
      </c>
      <c r="K3" s="3611"/>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610" t="s">
        <v>2664</v>
      </c>
      <c r="K4" s="3611"/>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612" t="s">
        <v>2668</v>
      </c>
      <c r="B6" s="3613"/>
      <c r="C6" s="3614"/>
      <c r="D6" s="3154"/>
      <c r="E6" s="3098"/>
      <c r="F6" s="3099"/>
      <c r="G6" s="3199"/>
      <c r="H6" s="3185"/>
      <c r="I6" s="3186"/>
      <c r="J6" s="3615">
        <v>1</v>
      </c>
      <c r="K6" s="3616"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615"/>
      <c r="K7" s="3617"/>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619" t="s">
        <v>2681</v>
      </c>
      <c r="C8" s="3620"/>
      <c r="D8" s="3108" t="s">
        <v>2682</v>
      </c>
      <c r="E8" s="3109" t="s">
        <v>2683</v>
      </c>
      <c r="F8" s="3092" t="s">
        <v>2684</v>
      </c>
      <c r="G8" s="3262" t="s">
        <v>2792</v>
      </c>
      <c r="H8" s="3185"/>
      <c r="I8" s="3186"/>
      <c r="J8" s="3615"/>
      <c r="K8" s="3617"/>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619" t="s">
        <v>2686</v>
      </c>
      <c r="C9" s="3620"/>
      <c r="D9" s="3108">
        <f>ROUND(D6*E9,0)</f>
        <v>0</v>
      </c>
      <c r="E9" s="3155"/>
      <c r="F9" s="3110" t="s">
        <v>2687</v>
      </c>
      <c r="G9" s="3208" t="s">
        <v>2790</v>
      </c>
      <c r="H9" s="3185"/>
      <c r="I9" s="3186"/>
      <c r="J9" s="3615"/>
      <c r="K9" s="3617"/>
      <c r="L9" s="3203" t="s">
        <v>2780</v>
      </c>
      <c r="M9" s="3204"/>
      <c r="N9" s="3204"/>
      <c r="O9" s="3205"/>
      <c r="P9" s="3205"/>
      <c r="Q9" s="3206">
        <v>365</v>
      </c>
      <c r="R9" s="3207">
        <f t="shared" si="0"/>
        <v>0</v>
      </c>
      <c r="S9" s="3183"/>
      <c r="T9" s="3183"/>
      <c r="U9" s="3183"/>
      <c r="V9" s="3186"/>
      <c r="W9" s="3185"/>
    </row>
    <row r="10" spans="1:23" s="3091" customFormat="1" ht="13.15" customHeight="1">
      <c r="A10" s="3107">
        <v>2</v>
      </c>
      <c r="B10" s="3619" t="s">
        <v>2688</v>
      </c>
      <c r="C10" s="3620"/>
      <c r="D10" s="3108">
        <f>ROUND(D6*E10,0)</f>
        <v>0</v>
      </c>
      <c r="E10" s="3155"/>
      <c r="F10" s="3110" t="s">
        <v>2689</v>
      </c>
      <c r="G10" s="3208" t="s">
        <v>2791</v>
      </c>
      <c r="H10" s="3185"/>
      <c r="I10" s="3186"/>
      <c r="J10" s="3615"/>
      <c r="K10" s="3617"/>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619" t="s">
        <v>2690</v>
      </c>
      <c r="C11" s="3620"/>
      <c r="D11" s="3108">
        <f>D12+D14+D15+D16</f>
        <v>0</v>
      </c>
      <c r="E11" s="3111" t="e">
        <f>D11/D6</f>
        <v>#DIV/0!</v>
      </c>
      <c r="F11" s="3092"/>
      <c r="G11" s="3208"/>
      <c r="H11" s="3185"/>
      <c r="I11" s="3186"/>
      <c r="J11" s="3615"/>
      <c r="K11" s="3617"/>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621" t="s">
        <v>2692</v>
      </c>
      <c r="C12" s="3622"/>
      <c r="D12" s="3113">
        <f>ROUND(D13*1.2%*(1-30%),0)</f>
        <v>0</v>
      </c>
      <c r="E12" s="3114">
        <v>1.2E-2</v>
      </c>
      <c r="F12" s="3092" t="s">
        <v>2693</v>
      </c>
      <c r="G12" s="3208"/>
      <c r="H12" s="3185"/>
      <c r="I12" s="3186"/>
      <c r="J12" s="3615"/>
      <c r="K12" s="3617"/>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615"/>
      <c r="K13" s="3617"/>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621" t="s">
        <v>2696</v>
      </c>
      <c r="C14" s="3622"/>
      <c r="D14" s="3113">
        <f>ROUND(E14*B5/10000,0)</f>
        <v>0</v>
      </c>
      <c r="E14" s="3157"/>
      <c r="F14" s="3092" t="s">
        <v>2697</v>
      </c>
      <c r="G14" s="3208"/>
      <c r="H14" s="3185"/>
      <c r="I14" s="3186"/>
      <c r="J14" s="3615"/>
      <c r="K14" s="3618"/>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621" t="s">
        <v>2700</v>
      </c>
      <c r="C15" s="3622"/>
      <c r="D15" s="3113">
        <f>ROUND(D6*E15,0)</f>
        <v>0</v>
      </c>
      <c r="E15" s="3114">
        <v>5.5E-2</v>
      </c>
      <c r="F15" s="3092" t="s">
        <v>2701</v>
      </c>
      <c r="G15" s="3208"/>
      <c r="H15" s="3185"/>
      <c r="I15" s="3186"/>
      <c r="J15" s="3615">
        <v>2</v>
      </c>
      <c r="K15" s="3616"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621" t="s">
        <v>2711</v>
      </c>
      <c r="C16" s="3622"/>
      <c r="D16" s="3158">
        <f>D6*E16</f>
        <v>0</v>
      </c>
      <c r="E16" s="3159"/>
      <c r="F16" s="3110" t="s">
        <v>2712</v>
      </c>
      <c r="G16" s="3208"/>
      <c r="H16" s="3185"/>
      <c r="I16" s="3186"/>
      <c r="J16" s="3615"/>
      <c r="K16" s="3617"/>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3" t="s">
        <v>2713</v>
      </c>
      <c r="C17" s="3624"/>
      <c r="D17" s="3119">
        <f>ROUND(D6*E17,0)</f>
        <v>0</v>
      </c>
      <c r="E17" s="3160"/>
      <c r="F17" s="3120" t="s">
        <v>2714</v>
      </c>
      <c r="G17" s="3261">
        <v>0.1</v>
      </c>
      <c r="H17" s="3185"/>
      <c r="I17" s="3186"/>
      <c r="J17" s="3615"/>
      <c r="K17" s="3617"/>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615"/>
      <c r="K18" s="3617"/>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615"/>
      <c r="K19" s="3618"/>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5">
        <v>3</v>
      </c>
      <c r="K20" s="3616"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615"/>
      <c r="K21" s="3617"/>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615"/>
      <c r="K22" s="3617"/>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615"/>
      <c r="K23" s="3617"/>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615"/>
      <c r="K24" s="3618"/>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625">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626"/>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608" t="s">
        <v>2750</v>
      </c>
      <c r="K32" s="3609"/>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610" t="s">
        <v>2754</v>
      </c>
      <c r="K33" s="3611"/>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610" t="s">
        <v>2756</v>
      </c>
      <c r="K34" s="361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615">
        <v>1</v>
      </c>
      <c r="K36" s="3616"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615"/>
      <c r="K37" s="3617"/>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5"/>
      <c r="K38" s="3617"/>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615"/>
      <c r="K39" s="3617"/>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615"/>
      <c r="K40" s="3618"/>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5">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626"/>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K1" zoomScale="80" zoomScaleNormal="90" zoomScaleSheetLayoutView="80" workbookViewId="0">
      <pane ySplit="27" topLeftCell="A28" activePane="bottomLeft" state="frozen"/>
      <selection activeCell="A11" sqref="A11:D11"/>
      <selection pane="bottomLeft" activeCell="AC33" sqref="AC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286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32445</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0" t="s">
        <v>1973</v>
      </c>
      <c r="D4" s="3631"/>
      <c r="E4" s="3631"/>
      <c r="F4" s="3631"/>
      <c r="G4" s="3631"/>
      <c r="H4" s="3631"/>
      <c r="I4" s="3631"/>
      <c r="J4" s="3631"/>
      <c r="K4" s="3631"/>
      <c r="L4" s="3631"/>
      <c r="M4" s="3631"/>
      <c r="N4" s="3631"/>
      <c r="O4" s="3631"/>
      <c r="P4" s="3631"/>
      <c r="Q4" s="3631"/>
      <c r="R4" s="3631"/>
      <c r="S4" s="3632"/>
      <c r="T4" s="575" t="s">
        <v>1974</v>
      </c>
      <c r="U4" s="957"/>
      <c r="V4" s="957"/>
      <c r="X4" s="957"/>
      <c r="Y4" s="957"/>
    </row>
    <row r="5" spans="1:44" s="587" customFormat="1" ht="38.25">
      <c r="A5" s="961"/>
      <c r="B5" s="583" t="s">
        <v>1975</v>
      </c>
      <c r="C5" s="584" t="str">
        <f t="shared" ref="C5:L5" si="0">C6&amp;"(含)"&amp;"-"&amp;D6</f>
        <v>0(含)-200</v>
      </c>
      <c r="D5" s="585" t="str">
        <f t="shared" si="0"/>
        <v>200(含)-500</v>
      </c>
      <c r="E5" s="585" t="str">
        <f t="shared" si="0"/>
        <v>500(含)-1000</v>
      </c>
      <c r="F5" s="585" t="str">
        <f t="shared" si="0"/>
        <v>1000(含)-1500</v>
      </c>
      <c r="G5" s="585" t="str">
        <f t="shared" si="0"/>
        <v>1500(含)-2500</v>
      </c>
      <c r="H5" s="585" t="str">
        <f t="shared" si="0"/>
        <v>2500(含)-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f>'比较法-办公'!C104</f>
        <v>0</v>
      </c>
      <c r="D6" s="589">
        <f>'比较法-办公'!D104</f>
        <v>200</v>
      </c>
      <c r="E6" s="589">
        <f>'比较法-办公'!E104</f>
        <v>500</v>
      </c>
      <c r="F6" s="589">
        <f>'比较法-办公'!F104</f>
        <v>1000</v>
      </c>
      <c r="G6" s="589">
        <f>'比较法-办公'!G104</f>
        <v>1500</v>
      </c>
      <c r="H6" s="589">
        <f>'比较法-办公'!H104</f>
        <v>2500</v>
      </c>
      <c r="I6" s="589"/>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589">
        <f>'比较法-办公'!C105</f>
        <v>98</v>
      </c>
      <c r="D7" s="589">
        <f>'比较法-办公'!D105</f>
        <v>100</v>
      </c>
      <c r="E7" s="589">
        <f>'比较法-办公'!E105</f>
        <v>98</v>
      </c>
      <c r="F7" s="589">
        <f>'比较法-办公'!F105</f>
        <v>96</v>
      </c>
      <c r="G7" s="589">
        <f>'比较法-办公'!G105</f>
        <v>94</v>
      </c>
      <c r="H7" s="589">
        <f>'比较法-办公'!H105</f>
        <v>92</v>
      </c>
      <c r="I7" s="589"/>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286</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f ca="1">ROUND(B23*10000/B25,0)</f>
        <v>32445</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88.15</v>
      </c>
      <c r="C25" s="3627" t="s">
        <v>45</v>
      </c>
      <c r="D25" s="3628"/>
      <c r="E25" s="3628"/>
      <c r="F25" s="3628"/>
      <c r="G25" s="3628"/>
      <c r="H25" s="3628"/>
      <c r="I25" s="3628"/>
      <c r="J25" s="3628"/>
      <c r="K25" s="3628"/>
      <c r="L25" s="3628"/>
      <c r="M25" s="3628"/>
      <c r="N25" s="3628"/>
      <c r="O25" s="3628"/>
      <c r="P25" s="3628"/>
      <c r="Q25" s="3629"/>
      <c r="R25" s="597">
        <f ca="1">IF(C23="万元",ROUND(T25*10000/B25,0),ROUND(S25/B25,0))</f>
        <v>32445</v>
      </c>
      <c r="S25" s="13">
        <f ca="1">SUM(S27:S10000)</f>
        <v>2862054</v>
      </c>
      <c r="T25" s="13">
        <f ca="1">SUM(T27:T10000)</f>
        <v>286</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Sheet1!B4</f>
        <v>B1102</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f ca="1">'结果表 (1修多)'!G20</f>
        <v>32468</v>
      </c>
      <c r="S27" s="600">
        <f ca="1">ROUND(R27*B27,0)</f>
        <v>0</v>
      </c>
      <c r="T27" s="600">
        <f ca="1">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t="str">
        <f>Sheet1!B5</f>
        <v>B1101A</v>
      </c>
      <c r="B28" s="20">
        <f>Sheet1!C5</f>
        <v>88.15</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32468</v>
      </c>
      <c r="S28" s="250">
        <f ca="1">ROUND(R28*B28,0)</f>
        <v>2862054</v>
      </c>
      <c r="T28" s="859">
        <f ca="1">ROUND(R28*B28/10000,0)</f>
        <v>286</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c r="D1" s="1568"/>
      <c r="E1" s="1569" t="s">
        <v>985</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2004</v>
      </c>
      <c r="D3" s="1588">
        <f>IF(C1="仅计算典型户型",'数据-取费表'!E5,'数据-取费表'!B5)</f>
        <v>176.29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2005</v>
      </c>
      <c r="B4" s="1592"/>
      <c r="C4" s="3587" t="s">
        <v>2006</v>
      </c>
      <c r="D4" s="3588"/>
      <c r="E4" s="3589" t="s">
        <v>2007</v>
      </c>
      <c r="F4" s="3590"/>
      <c r="G4" s="3587" t="s">
        <v>2008</v>
      </c>
      <c r="H4" s="3588"/>
      <c r="I4" s="3587" t="s">
        <v>2009</v>
      </c>
      <c r="J4" s="3588"/>
      <c r="K4" s="1593" t="s">
        <v>2010</v>
      </c>
      <c r="L4" s="2915"/>
      <c r="M4" s="2916"/>
      <c r="N4" s="2916"/>
      <c r="O4" s="2916"/>
      <c r="P4" s="3591" t="s">
        <v>2011</v>
      </c>
      <c r="Q4" s="3592"/>
      <c r="R4" s="3575" t="s">
        <v>2007</v>
      </c>
      <c r="S4" s="3576"/>
      <c r="T4" s="3575" t="s">
        <v>2008</v>
      </c>
      <c r="U4" s="3576"/>
      <c r="V4" s="3597" t="s">
        <v>2009</v>
      </c>
      <c r="W4" s="3597"/>
      <c r="X4" s="1594"/>
      <c r="Y4" s="3575" t="s">
        <v>2011</v>
      </c>
      <c r="Z4" s="3576"/>
      <c r="AA4" s="3584" t="s">
        <v>2007</v>
      </c>
      <c r="AB4" s="3584" t="s">
        <v>2008</v>
      </c>
      <c r="AC4" s="3584" t="s">
        <v>2009</v>
      </c>
    </row>
    <row r="5" spans="1:29" ht="15">
      <c r="A5" s="1596"/>
      <c r="B5" s="1597"/>
      <c r="C5" s="3600" t="s">
        <v>2012</v>
      </c>
      <c r="D5" s="3601"/>
      <c r="E5" s="3598" t="s">
        <v>2013</v>
      </c>
      <c r="F5" s="3599"/>
      <c r="G5" s="3600" t="s">
        <v>2014</v>
      </c>
      <c r="H5" s="3601"/>
      <c r="I5" s="3600" t="s">
        <v>2015</v>
      </c>
      <c r="J5" s="3601"/>
      <c r="K5" s="1598"/>
      <c r="L5" s="2915"/>
      <c r="M5" s="2916"/>
      <c r="N5" s="2916"/>
      <c r="O5" s="2916"/>
      <c r="P5" s="3593"/>
      <c r="Q5" s="3594"/>
      <c r="R5" s="3577"/>
      <c r="S5" s="3578"/>
      <c r="T5" s="3577"/>
      <c r="U5" s="3578"/>
      <c r="V5" s="3597"/>
      <c r="W5" s="3597"/>
      <c r="X5" s="1594"/>
      <c r="Y5" s="3577"/>
      <c r="Z5" s="3578"/>
      <c r="AA5" s="3585"/>
      <c r="AB5" s="3585"/>
      <c r="AC5" s="3585"/>
    </row>
    <row r="6" spans="1:29" ht="15.75" thickBot="1">
      <c r="A6" s="1599"/>
      <c r="B6" s="1600"/>
      <c r="C6" s="3602" t="s">
        <v>2016</v>
      </c>
      <c r="D6" s="3603"/>
      <c r="E6" s="3604" t="s">
        <v>2016</v>
      </c>
      <c r="F6" s="3605"/>
      <c r="G6" s="3602" t="s">
        <v>2016</v>
      </c>
      <c r="H6" s="3603"/>
      <c r="I6" s="3602" t="s">
        <v>2016</v>
      </c>
      <c r="J6" s="3603"/>
      <c r="K6" s="1598" t="s">
        <v>2017</v>
      </c>
      <c r="L6" s="2915"/>
      <c r="M6" s="2916"/>
      <c r="N6" s="2916"/>
      <c r="O6" s="2916"/>
      <c r="P6" s="3595"/>
      <c r="Q6" s="3596"/>
      <c r="R6" s="3577"/>
      <c r="S6" s="3578"/>
      <c r="T6" s="3579"/>
      <c r="U6" s="3580"/>
      <c r="V6" s="3597"/>
      <c r="W6" s="3597"/>
      <c r="X6" s="1594"/>
      <c r="Y6" s="3579"/>
      <c r="Z6" s="3580"/>
      <c r="AA6" s="3586"/>
      <c r="AB6" s="3586"/>
      <c r="AC6" s="3586"/>
    </row>
    <row r="7" spans="1:29" s="1613" customFormat="1" ht="15.75" thickBot="1">
      <c r="A7" s="1601" t="s">
        <v>2018</v>
      </c>
      <c r="B7" s="1602"/>
      <c r="C7" s="1603">
        <f>'数据-取费表'!B2</f>
        <v>44676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3" t="s">
        <v>2019</v>
      </c>
      <c r="Q7" s="3581"/>
      <c r="R7" s="1609" t="s">
        <v>34</v>
      </c>
      <c r="S7" s="1610">
        <f t="shared" ref="S7:S15" si="0">F7</f>
        <v>0</v>
      </c>
      <c r="T7" s="1609" t="s">
        <v>34</v>
      </c>
      <c r="U7" s="1610">
        <f t="shared" ref="U7:U15" si="1">H7</f>
        <v>0</v>
      </c>
      <c r="V7" s="1609" t="s">
        <v>34</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3" t="s">
        <v>2022</v>
      </c>
      <c r="Q8" s="3574"/>
      <c r="R8" s="1609" t="s">
        <v>34</v>
      </c>
      <c r="S8" s="1610">
        <f t="shared" si="0"/>
        <v>0</v>
      </c>
      <c r="T8" s="1609" t="s">
        <v>34</v>
      </c>
      <c r="U8" s="1610">
        <f t="shared" si="1"/>
        <v>0</v>
      </c>
      <c r="V8" s="1609" t="s">
        <v>34</v>
      </c>
      <c r="W8" s="1610">
        <f t="shared" si="2"/>
        <v>0</v>
      </c>
      <c r="X8" s="1611"/>
      <c r="Y8" s="3573" t="s">
        <v>2022</v>
      </c>
      <c r="Z8" s="3574"/>
      <c r="AA8" s="1612" t="e">
        <f t="shared" ref="AA8:AA46" si="3">D8/F8</f>
        <v>#DIV/0!</v>
      </c>
      <c r="AB8" s="1612" t="e">
        <f t="shared" ref="AB8:AB46" si="4">D8/H8</f>
        <v>#DIV/0!</v>
      </c>
      <c r="AC8" s="1612" t="e">
        <f t="shared" ref="AC8:AC46" si="5">D8/J8</f>
        <v>#DIV/0!</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0" t="s">
        <v>2025</v>
      </c>
      <c r="Q9" s="1563"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0"/>
      <c r="Q10" s="1563" t="str">
        <f t="shared" si="6"/>
        <v>土地使用年限（年）</v>
      </c>
      <c r="R10" s="1609" t="s">
        <v>25</v>
      </c>
      <c r="S10" s="1610">
        <f t="shared" si="0"/>
        <v>100</v>
      </c>
      <c r="T10" s="1609" t="s">
        <v>25</v>
      </c>
      <c r="U10" s="1610">
        <f t="shared" si="1"/>
        <v>100</v>
      </c>
      <c r="V10" s="1609" t="s">
        <v>25</v>
      </c>
      <c r="W10" s="1610">
        <f t="shared" si="2"/>
        <v>100</v>
      </c>
      <c r="X10" s="1611"/>
      <c r="Y10" s="3458"/>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0"/>
      <c r="Q11" s="1563" t="str">
        <f t="shared" si="6"/>
        <v>容积率</v>
      </c>
      <c r="R11" s="1609" t="s">
        <v>28</v>
      </c>
      <c r="S11" s="1610" t="e">
        <f t="shared" si="0"/>
        <v>#N/A</v>
      </c>
      <c r="T11" s="1609" t="s">
        <v>28</v>
      </c>
      <c r="U11" s="1610" t="e">
        <f t="shared" si="1"/>
        <v>#N/A</v>
      </c>
      <c r="V11" s="1609" t="s">
        <v>28</v>
      </c>
      <c r="W11" s="1610" t="e">
        <f t="shared" si="2"/>
        <v>#N/A</v>
      </c>
      <c r="X11" s="1611"/>
      <c r="Y11" s="345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0"/>
      <c r="Q12" s="1563">
        <f t="shared" si="6"/>
        <v>111</v>
      </c>
      <c r="R12" s="1609" t="s">
        <v>28</v>
      </c>
      <c r="S12" s="1610">
        <f t="shared" si="0"/>
        <v>100</v>
      </c>
      <c r="T12" s="1609" t="s">
        <v>28</v>
      </c>
      <c r="U12" s="1610">
        <f t="shared" si="1"/>
        <v>100</v>
      </c>
      <c r="V12" s="1609" t="s">
        <v>28</v>
      </c>
      <c r="W12" s="1610">
        <f t="shared" si="2"/>
        <v>100</v>
      </c>
      <c r="X12" s="1611"/>
      <c r="Y12" s="345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0"/>
      <c r="Q13" s="1563">
        <f t="shared" si="6"/>
        <v>111</v>
      </c>
      <c r="R13" s="1609" t="s">
        <v>28</v>
      </c>
      <c r="S13" s="1610">
        <f t="shared" si="0"/>
        <v>100</v>
      </c>
      <c r="T13" s="1609" t="s">
        <v>28</v>
      </c>
      <c r="U13" s="1610">
        <f t="shared" si="1"/>
        <v>100</v>
      </c>
      <c r="V13" s="1609" t="s">
        <v>28</v>
      </c>
      <c r="W13" s="1610">
        <f t="shared" si="2"/>
        <v>100</v>
      </c>
      <c r="X13" s="1611"/>
      <c r="Y13" s="345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0"/>
      <c r="Q14" s="1563">
        <f t="shared" si="6"/>
        <v>111</v>
      </c>
      <c r="R14" s="1609" t="s">
        <v>28</v>
      </c>
      <c r="S14" s="1610">
        <f t="shared" si="0"/>
        <v>100</v>
      </c>
      <c r="T14" s="1609" t="s">
        <v>28</v>
      </c>
      <c r="U14" s="1610">
        <f t="shared" si="1"/>
        <v>100</v>
      </c>
      <c r="V14" s="1609" t="s">
        <v>28</v>
      </c>
      <c r="W14" s="1610">
        <f t="shared" si="2"/>
        <v>100</v>
      </c>
      <c r="X14" s="1611"/>
      <c r="Y14" s="3458"/>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5" t="s">
        <v>2030</v>
      </c>
      <c r="Q15" s="1544" t="str">
        <f t="shared" si="6"/>
        <v>居住社区成熟度</v>
      </c>
      <c r="R15" s="1654" t="s">
        <v>28</v>
      </c>
      <c r="S15" s="1655">
        <f t="shared" si="0"/>
        <v>100</v>
      </c>
      <c r="T15" s="1654" t="s">
        <v>28</v>
      </c>
      <c r="U15" s="1655">
        <f t="shared" si="1"/>
        <v>100</v>
      </c>
      <c r="V15" s="1654" t="s">
        <v>28</v>
      </c>
      <c r="W15" s="1655">
        <f t="shared" si="2"/>
        <v>100</v>
      </c>
      <c r="X15" s="1594"/>
      <c r="Y15" s="3582"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6"/>
      <c r="Q16" s="1544"/>
      <c r="R16" s="1654"/>
      <c r="S16" s="1655"/>
      <c r="T16" s="1654"/>
      <c r="U16" s="1655"/>
      <c r="V16" s="1654"/>
      <c r="W16" s="1655"/>
      <c r="X16" s="1594"/>
      <c r="Y16" s="358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6"/>
      <c r="Q17" s="1544" t="str">
        <f>B17</f>
        <v>交通便捷度</v>
      </c>
      <c r="R17" s="1654" t="s">
        <v>28</v>
      </c>
      <c r="S17" s="1655">
        <f>F17</f>
        <v>100</v>
      </c>
      <c r="T17" s="1654" t="s">
        <v>28</v>
      </c>
      <c r="U17" s="1655">
        <f>H17</f>
        <v>100</v>
      </c>
      <c r="V17" s="1654" t="s">
        <v>28</v>
      </c>
      <c r="W17" s="1655">
        <f>J17</f>
        <v>100</v>
      </c>
      <c r="X17" s="1594"/>
      <c r="Y17" s="358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6"/>
      <c r="Q18" s="1544"/>
      <c r="R18" s="1654"/>
      <c r="S18" s="1655"/>
      <c r="T18" s="1654"/>
      <c r="U18" s="1655"/>
      <c r="V18" s="1654"/>
      <c r="W18" s="1655"/>
      <c r="X18" s="1594"/>
      <c r="Y18" s="358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6"/>
      <c r="Q19" s="1544" t="str">
        <f>B19</f>
        <v>公共配套设施</v>
      </c>
      <c r="R19" s="1654" t="s">
        <v>28</v>
      </c>
      <c r="S19" s="1655">
        <f>F19</f>
        <v>100</v>
      </c>
      <c r="T19" s="1654" t="s">
        <v>28</v>
      </c>
      <c r="U19" s="1655">
        <f>H19</f>
        <v>100</v>
      </c>
      <c r="V19" s="1654" t="s">
        <v>28</v>
      </c>
      <c r="W19" s="1655">
        <f>J19</f>
        <v>100</v>
      </c>
      <c r="X19" s="1594"/>
      <c r="Y19" s="358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6"/>
      <c r="Q20" s="1544"/>
      <c r="R20" s="1654"/>
      <c r="S20" s="1655"/>
      <c r="T20" s="1654"/>
      <c r="U20" s="1655"/>
      <c r="V20" s="1654"/>
      <c r="W20" s="1655"/>
      <c r="X20" s="1594"/>
      <c r="Y20" s="358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6"/>
      <c r="Q21" s="1544" t="str">
        <f>B21</f>
        <v>基础设施水平</v>
      </c>
      <c r="R21" s="1654" t="s">
        <v>28</v>
      </c>
      <c r="S21" s="1655">
        <f>F21</f>
        <v>100</v>
      </c>
      <c r="T21" s="1654" t="s">
        <v>28</v>
      </c>
      <c r="U21" s="1655">
        <f>H21</f>
        <v>100</v>
      </c>
      <c r="V21" s="1654" t="s">
        <v>28</v>
      </c>
      <c r="W21" s="1655">
        <f>J21</f>
        <v>100</v>
      </c>
      <c r="X21" s="1594"/>
      <c r="Y21" s="358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6"/>
      <c r="Q22" s="1544"/>
      <c r="R22" s="1654"/>
      <c r="S22" s="1655"/>
      <c r="T22" s="1654"/>
      <c r="U22" s="1655"/>
      <c r="V22" s="1654"/>
      <c r="W22" s="1655"/>
      <c r="X22" s="1594"/>
      <c r="Y22" s="358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6"/>
      <c r="Q23" s="1544" t="str">
        <f>B23</f>
        <v>自然及人文环境</v>
      </c>
      <c r="R23" s="1654" t="s">
        <v>28</v>
      </c>
      <c r="S23" s="1655">
        <f>F23</f>
        <v>100</v>
      </c>
      <c r="T23" s="1654" t="s">
        <v>28</v>
      </c>
      <c r="U23" s="1655">
        <f>H23</f>
        <v>100</v>
      </c>
      <c r="V23" s="1654" t="s">
        <v>28</v>
      </c>
      <c r="W23" s="1655">
        <f>J23</f>
        <v>100</v>
      </c>
      <c r="X23" s="1594"/>
      <c r="Y23" s="358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6"/>
      <c r="Q24" s="1544"/>
      <c r="R24" s="1654"/>
      <c r="S24" s="1655"/>
      <c r="T24" s="1654"/>
      <c r="U24" s="1655"/>
      <c r="V24" s="1654"/>
      <c r="W24" s="1655"/>
      <c r="X24" s="1594"/>
      <c r="Y24" s="3583"/>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6"/>
      <c r="Q25" s="1544" t="str">
        <f t="shared" ref="Q25:Q46" si="11">B25</f>
        <v>楼层-1</v>
      </c>
      <c r="R25" s="1654" t="s">
        <v>28</v>
      </c>
      <c r="S25" s="1655">
        <f>F25</f>
        <v>100</v>
      </c>
      <c r="T25" s="1654" t="s">
        <v>28</v>
      </c>
      <c r="U25" s="1655">
        <f>H25</f>
        <v>100</v>
      </c>
      <c r="V25" s="1654" t="s">
        <v>28</v>
      </c>
      <c r="W25" s="1655">
        <f>J25</f>
        <v>100</v>
      </c>
      <c r="X25" s="1594"/>
      <c r="Y25" s="3583"/>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6"/>
      <c r="Q26" s="1544" t="str">
        <f t="shared" si="11"/>
        <v>朝向</v>
      </c>
      <c r="R26" s="1654" t="s">
        <v>28</v>
      </c>
      <c r="S26" s="1655">
        <f>F26</f>
        <v>100</v>
      </c>
      <c r="T26" s="1654" t="s">
        <v>28</v>
      </c>
      <c r="U26" s="1655">
        <f>H26</f>
        <v>100</v>
      </c>
      <c r="V26" s="1654" t="s">
        <v>28</v>
      </c>
      <c r="W26" s="1655">
        <f>J26</f>
        <v>100</v>
      </c>
      <c r="X26" s="1594"/>
      <c r="Y26" s="3583"/>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6"/>
      <c r="Q27" s="1563" t="str">
        <f t="shared" si="11"/>
        <v>道路级别</v>
      </c>
      <c r="R27" s="1609" t="s">
        <v>28</v>
      </c>
      <c r="S27" s="1610">
        <f>F27</f>
        <v>100</v>
      </c>
      <c r="T27" s="1609" t="s">
        <v>28</v>
      </c>
      <c r="U27" s="1610">
        <f>H27</f>
        <v>100</v>
      </c>
      <c r="V27" s="1609" t="s">
        <v>28</v>
      </c>
      <c r="W27" s="1610">
        <f>J27</f>
        <v>100</v>
      </c>
      <c r="X27" s="1611"/>
      <c r="Y27" s="358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6"/>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6"/>
      <c r="Q29" s="1544">
        <f t="shared" si="11"/>
        <v>111</v>
      </c>
      <c r="R29" s="1654" t="s">
        <v>28</v>
      </c>
      <c r="S29" s="1655">
        <f t="shared" si="12"/>
        <v>100</v>
      </c>
      <c r="T29" s="1654" t="s">
        <v>28</v>
      </c>
      <c r="U29" s="1655">
        <f t="shared" si="13"/>
        <v>100</v>
      </c>
      <c r="V29" s="1654" t="s">
        <v>28</v>
      </c>
      <c r="W29" s="1655">
        <f t="shared" si="14"/>
        <v>100</v>
      </c>
      <c r="X29" s="1594"/>
      <c r="Y29" s="358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6"/>
      <c r="Q30" s="1544">
        <f t="shared" si="11"/>
        <v>111</v>
      </c>
      <c r="R30" s="1654" t="s">
        <v>28</v>
      </c>
      <c r="S30" s="1655">
        <f t="shared" si="12"/>
        <v>100</v>
      </c>
      <c r="T30" s="1654" t="s">
        <v>28</v>
      </c>
      <c r="U30" s="1655">
        <f t="shared" si="13"/>
        <v>100</v>
      </c>
      <c r="V30" s="1654" t="s">
        <v>28</v>
      </c>
      <c r="W30" s="1655">
        <f t="shared" si="14"/>
        <v>100</v>
      </c>
      <c r="X30" s="1594"/>
      <c r="Y30" s="358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6"/>
      <c r="Q31" s="1544">
        <f t="shared" si="11"/>
        <v>111</v>
      </c>
      <c r="R31" s="1654" t="s">
        <v>28</v>
      </c>
      <c r="S31" s="1655">
        <f t="shared" si="12"/>
        <v>100</v>
      </c>
      <c r="T31" s="1654" t="s">
        <v>28</v>
      </c>
      <c r="U31" s="1655">
        <f t="shared" si="13"/>
        <v>100</v>
      </c>
      <c r="V31" s="1654" t="s">
        <v>28</v>
      </c>
      <c r="W31" s="1655">
        <f t="shared" si="14"/>
        <v>100</v>
      </c>
      <c r="X31" s="1594"/>
      <c r="Y31" s="3583"/>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7" t="s">
        <v>2036</v>
      </c>
      <c r="Q32" s="1544" t="str">
        <f t="shared" si="11"/>
        <v>建筑类型</v>
      </c>
      <c r="R32" s="1654" t="s">
        <v>28</v>
      </c>
      <c r="S32" s="1655">
        <f t="shared" si="12"/>
        <v>100</v>
      </c>
      <c r="T32" s="1654" t="s">
        <v>28</v>
      </c>
      <c r="U32" s="1655">
        <f t="shared" si="13"/>
        <v>100</v>
      </c>
      <c r="V32" s="1654" t="s">
        <v>28</v>
      </c>
      <c r="W32" s="1655">
        <f t="shared" si="14"/>
        <v>100</v>
      </c>
      <c r="X32" s="1594"/>
      <c r="Y32" s="3571" t="s">
        <v>2036</v>
      </c>
      <c r="Z32" s="1656" t="str">
        <f t="shared" si="15"/>
        <v>建筑类型</v>
      </c>
      <c r="AA32" s="1657">
        <f t="shared" si="3"/>
        <v>1</v>
      </c>
      <c r="AB32" s="1657">
        <f t="shared" si="4"/>
        <v>1</v>
      </c>
      <c r="AC32" s="1657">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8"/>
      <c r="Q33" s="1695" t="str">
        <f t="shared" si="11"/>
        <v>项目建筑规模</v>
      </c>
      <c r="R33" s="1696" t="s">
        <v>28</v>
      </c>
      <c r="S33" s="1697" t="e">
        <f t="shared" si="12"/>
        <v>#N/A</v>
      </c>
      <c r="T33" s="1696" t="s">
        <v>28</v>
      </c>
      <c r="U33" s="1697" t="e">
        <f t="shared" si="13"/>
        <v>#N/A</v>
      </c>
      <c r="V33" s="1696" t="s">
        <v>28</v>
      </c>
      <c r="W33" s="1697" t="e">
        <f t="shared" si="14"/>
        <v>#N/A</v>
      </c>
      <c r="X33" s="1698"/>
      <c r="Y33" s="3571"/>
      <c r="Z33" s="1699" t="str">
        <f t="shared" si="15"/>
        <v>项目建筑规模</v>
      </c>
      <c r="AA33" s="1657" t="e">
        <f t="shared" si="3"/>
        <v>#N/A</v>
      </c>
      <c r="AB33" s="1657" t="e">
        <f t="shared" si="4"/>
        <v>#N/A</v>
      </c>
      <c r="AC33" s="1657"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8"/>
      <c r="Q34" s="1544" t="str">
        <f t="shared" si="11"/>
        <v>建筑结构</v>
      </c>
      <c r="R34" s="1654" t="s">
        <v>28</v>
      </c>
      <c r="S34" s="1655">
        <f t="shared" si="12"/>
        <v>100</v>
      </c>
      <c r="T34" s="1654" t="s">
        <v>28</v>
      </c>
      <c r="U34" s="1655">
        <f t="shared" si="13"/>
        <v>100</v>
      </c>
      <c r="V34" s="1654" t="s">
        <v>28</v>
      </c>
      <c r="W34" s="1655">
        <f t="shared" si="14"/>
        <v>100</v>
      </c>
      <c r="X34" s="1594"/>
      <c r="Y34" s="3571"/>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8"/>
      <c r="Q35" s="1544" t="str">
        <f t="shared" si="11"/>
        <v>建筑品质</v>
      </c>
      <c r="R35" s="1654" t="s">
        <v>28</v>
      </c>
      <c r="S35" s="1655">
        <f t="shared" si="12"/>
        <v>100</v>
      </c>
      <c r="T35" s="1654" t="s">
        <v>28</v>
      </c>
      <c r="U35" s="1655">
        <f t="shared" si="13"/>
        <v>100</v>
      </c>
      <c r="V35" s="1654" t="s">
        <v>28</v>
      </c>
      <c r="W35" s="1655">
        <f t="shared" si="14"/>
        <v>100</v>
      </c>
      <c r="X35" s="1594"/>
      <c r="Y35" s="3571"/>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8"/>
      <c r="Q36" s="1544" t="str">
        <f t="shared" si="11"/>
        <v>公共部分装修</v>
      </c>
      <c r="R36" s="1654" t="s">
        <v>28</v>
      </c>
      <c r="S36" s="1655">
        <f t="shared" si="12"/>
        <v>100</v>
      </c>
      <c r="T36" s="1654" t="s">
        <v>28</v>
      </c>
      <c r="U36" s="1655">
        <f t="shared" si="13"/>
        <v>100</v>
      </c>
      <c r="V36" s="1654" t="s">
        <v>28</v>
      </c>
      <c r="W36" s="1655">
        <f t="shared" si="14"/>
        <v>100</v>
      </c>
      <c r="X36" s="1594"/>
      <c r="Y36" s="3571"/>
      <c r="Z36" s="1656" t="str">
        <f t="shared" si="15"/>
        <v>公共部分装修</v>
      </c>
      <c r="AA36" s="1657">
        <f t="shared" si="3"/>
        <v>1</v>
      </c>
      <c r="AB36" s="1657">
        <f t="shared" si="4"/>
        <v>1</v>
      </c>
      <c r="AC36" s="1657">
        <f t="shared" si="5"/>
        <v>1</v>
      </c>
    </row>
    <row r="37" spans="1:29" s="1613" customFormat="1" ht="15">
      <c r="A37" s="1704"/>
      <c r="B37" s="1624" t="s">
        <v>2041</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8"/>
      <c r="Q37" s="1563" t="str">
        <f t="shared" si="11"/>
        <v>成新度</v>
      </c>
      <c r="R37" s="1609" t="s">
        <v>28</v>
      </c>
      <c r="S37" s="1610" t="e">
        <f t="shared" si="12"/>
        <v>#N/A</v>
      </c>
      <c r="T37" s="1609" t="s">
        <v>28</v>
      </c>
      <c r="U37" s="1610" t="e">
        <f t="shared" si="13"/>
        <v>#N/A</v>
      </c>
      <c r="V37" s="1609" t="s">
        <v>28</v>
      </c>
      <c r="W37" s="1610" t="e">
        <f t="shared" si="14"/>
        <v>#N/A</v>
      </c>
      <c r="X37" s="1611"/>
      <c r="Y37" s="3571"/>
      <c r="Z37" s="1622" t="str">
        <f t="shared" si="15"/>
        <v>成新度</v>
      </c>
      <c r="AA37" s="1612" t="e">
        <f t="shared" si="3"/>
        <v>#N/A</v>
      </c>
      <c r="AB37" s="1612" t="e">
        <f t="shared" si="4"/>
        <v>#N/A</v>
      </c>
      <c r="AC37" s="1612" t="e">
        <f t="shared" si="5"/>
        <v>#N/A</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8" t="s">
        <v>2036</v>
      </c>
      <c r="Q38" s="1544" t="str">
        <f t="shared" si="11"/>
        <v>物业管理</v>
      </c>
      <c r="R38" s="1654" t="s">
        <v>28</v>
      </c>
      <c r="S38" s="1655">
        <f t="shared" si="12"/>
        <v>100</v>
      </c>
      <c r="T38" s="1654" t="s">
        <v>28</v>
      </c>
      <c r="U38" s="1655">
        <f t="shared" si="13"/>
        <v>100</v>
      </c>
      <c r="V38" s="1654" t="s">
        <v>28</v>
      </c>
      <c r="W38" s="1655">
        <f t="shared" si="14"/>
        <v>100</v>
      </c>
      <c r="X38" s="1594"/>
      <c r="Y38" s="3571"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8"/>
      <c r="Q39" s="1544" t="str">
        <f t="shared" si="11"/>
        <v>市政基础设施</v>
      </c>
      <c r="R39" s="1654" t="s">
        <v>28</v>
      </c>
      <c r="S39" s="1655">
        <f t="shared" si="12"/>
        <v>100</v>
      </c>
      <c r="T39" s="1654" t="s">
        <v>28</v>
      </c>
      <c r="U39" s="1655">
        <f t="shared" si="13"/>
        <v>100</v>
      </c>
      <c r="V39" s="1654" t="s">
        <v>28</v>
      </c>
      <c r="W39" s="1655">
        <f t="shared" si="14"/>
        <v>100</v>
      </c>
      <c r="X39" s="1594"/>
      <c r="Y39" s="3571"/>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8"/>
      <c r="Q40" s="1544" t="str">
        <f t="shared" si="11"/>
        <v>房型</v>
      </c>
      <c r="R40" s="1654" t="s">
        <v>28</v>
      </c>
      <c r="S40" s="1655">
        <f t="shared" si="12"/>
        <v>100</v>
      </c>
      <c r="T40" s="1654" t="s">
        <v>28</v>
      </c>
      <c r="U40" s="1655">
        <f t="shared" si="13"/>
        <v>100</v>
      </c>
      <c r="V40" s="1654" t="s">
        <v>28</v>
      </c>
      <c r="W40" s="1655">
        <f t="shared" si="14"/>
        <v>100</v>
      </c>
      <c r="X40" s="1594"/>
      <c r="Y40" s="3571"/>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8"/>
      <c r="Q41" s="1695" t="str">
        <f t="shared" si="11"/>
        <v>单套/主力户型建筑面积</v>
      </c>
      <c r="R41" s="1696" t="s">
        <v>28</v>
      </c>
      <c r="S41" s="1697">
        <f t="shared" si="12"/>
        <v>100</v>
      </c>
      <c r="T41" s="1696" t="s">
        <v>28</v>
      </c>
      <c r="U41" s="1697">
        <f t="shared" si="13"/>
        <v>100</v>
      </c>
      <c r="V41" s="1696" t="s">
        <v>28</v>
      </c>
      <c r="W41" s="1697">
        <f t="shared" si="14"/>
        <v>100</v>
      </c>
      <c r="X41" s="1698"/>
      <c r="Y41" s="3571"/>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8"/>
      <c r="Q42" s="1544" t="str">
        <f t="shared" si="11"/>
        <v>内部装修</v>
      </c>
      <c r="R42" s="1654" t="s">
        <v>28</v>
      </c>
      <c r="S42" s="1655">
        <f t="shared" si="12"/>
        <v>100</v>
      </c>
      <c r="T42" s="1654" t="s">
        <v>28</v>
      </c>
      <c r="U42" s="1655">
        <f t="shared" si="13"/>
        <v>100</v>
      </c>
      <c r="V42" s="1654" t="s">
        <v>28</v>
      </c>
      <c r="W42" s="1655">
        <f t="shared" si="14"/>
        <v>100</v>
      </c>
      <c r="X42" s="1594"/>
      <c r="Y42" s="3571"/>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8"/>
      <c r="Q43" s="1544" t="str">
        <f t="shared" si="11"/>
        <v>内部装修维护情况</v>
      </c>
      <c r="R43" s="1654" t="s">
        <v>28</v>
      </c>
      <c r="S43" s="1655">
        <f t="shared" si="12"/>
        <v>100</v>
      </c>
      <c r="T43" s="1654" t="s">
        <v>28</v>
      </c>
      <c r="U43" s="1655">
        <f t="shared" si="13"/>
        <v>100</v>
      </c>
      <c r="V43" s="1654" t="s">
        <v>28</v>
      </c>
      <c r="W43" s="1655">
        <f t="shared" si="14"/>
        <v>100</v>
      </c>
      <c r="X43" s="1594"/>
      <c r="Y43" s="3571"/>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8"/>
      <c r="Q44" s="1563">
        <f t="shared" si="11"/>
        <v>111</v>
      </c>
      <c r="R44" s="1609" t="s">
        <v>28</v>
      </c>
      <c r="S44" s="1610">
        <f t="shared" si="12"/>
        <v>100</v>
      </c>
      <c r="T44" s="1609" t="s">
        <v>28</v>
      </c>
      <c r="U44" s="1610">
        <f t="shared" si="13"/>
        <v>100</v>
      </c>
      <c r="V44" s="1609" t="s">
        <v>28</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8"/>
      <c r="Q45" s="1544">
        <f t="shared" si="11"/>
        <v>111</v>
      </c>
      <c r="R45" s="1654" t="s">
        <v>28</v>
      </c>
      <c r="S45" s="1655">
        <f t="shared" si="12"/>
        <v>100</v>
      </c>
      <c r="T45" s="1654" t="s">
        <v>28</v>
      </c>
      <c r="U45" s="1655">
        <f t="shared" si="13"/>
        <v>100</v>
      </c>
      <c r="V45" s="1654" t="s">
        <v>28</v>
      </c>
      <c r="W45" s="1655">
        <f t="shared" si="14"/>
        <v>100</v>
      </c>
      <c r="X45" s="1594"/>
      <c r="Y45" s="3571"/>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9"/>
      <c r="Q46" s="1544">
        <f t="shared" si="11"/>
        <v>111</v>
      </c>
      <c r="R46" s="1654" t="s">
        <v>27</v>
      </c>
      <c r="S46" s="1655">
        <f t="shared" si="12"/>
        <v>100</v>
      </c>
      <c r="T46" s="1654" t="s">
        <v>27</v>
      </c>
      <c r="U46" s="1655">
        <f t="shared" si="13"/>
        <v>100</v>
      </c>
      <c r="V46" s="1654" t="s">
        <v>27</v>
      </c>
      <c r="W46" s="1655">
        <f t="shared" si="14"/>
        <v>100</v>
      </c>
      <c r="X46" s="1594"/>
      <c r="Y46" s="3572"/>
      <c r="Z46" s="1656">
        <f t="shared" si="15"/>
        <v>111</v>
      </c>
      <c r="AA46" s="1657">
        <f t="shared" si="3"/>
        <v>1</v>
      </c>
      <c r="AB46" s="1657">
        <f t="shared" si="4"/>
        <v>1</v>
      </c>
      <c r="AC46" s="1657">
        <f t="shared" si="5"/>
        <v>1</v>
      </c>
    </row>
    <row r="47" spans="1:29" ht="15">
      <c r="A47" s="1710" t="s">
        <v>2048</v>
      </c>
      <c r="B47" s="1711"/>
      <c r="C47" s="1712" t="s">
        <v>26</v>
      </c>
      <c r="D47" s="1713"/>
      <c r="E47" s="1714"/>
      <c r="F47" s="1715"/>
      <c r="G47" s="1716"/>
      <c r="H47" s="1717"/>
      <c r="I47" s="1714"/>
      <c r="J47" s="1717"/>
      <c r="K47" s="1718"/>
      <c r="L47" s="2921"/>
      <c r="N47" s="2916"/>
      <c r="P47" s="3565" t="str">
        <f>A47</f>
        <v>成交单价（元/平方米）</v>
      </c>
      <c r="Q47" s="3565"/>
      <c r="R47" s="3566">
        <f>E47</f>
        <v>0</v>
      </c>
      <c r="S47" s="3566"/>
      <c r="T47" s="3566">
        <f>G47</f>
        <v>0</v>
      </c>
      <c r="U47" s="3566"/>
      <c r="V47" s="3566">
        <f>I47</f>
        <v>0</v>
      </c>
      <c r="W47" s="3566"/>
      <c r="X47" s="1720"/>
      <c r="Y47" s="1721"/>
      <c r="Z47" s="1720"/>
      <c r="AA47" s="1720"/>
      <c r="AB47" s="1720"/>
      <c r="AC47" s="1720"/>
    </row>
    <row r="48" spans="1:29" ht="15.75" thickBot="1">
      <c r="A48" s="1722" t="s">
        <v>2049</v>
      </c>
      <c r="B48" s="1723"/>
      <c r="C48" s="1724" t="e">
        <f>R49</f>
        <v>#DIV/0!</v>
      </c>
      <c r="D48" s="1725" t="s">
        <v>2502</v>
      </c>
      <c r="E48" s="1726" t="e">
        <f>R48</f>
        <v>#DIV/0!</v>
      </c>
      <c r="F48" s="1727"/>
      <c r="G48" s="1724" t="e">
        <f>T48</f>
        <v>#DIV/0!</v>
      </c>
      <c r="H48" s="1727"/>
      <c r="I48" s="1726" t="e">
        <f>V48</f>
        <v>#DIV/0!</v>
      </c>
      <c r="J48" s="1727"/>
      <c r="K48" s="2430">
        <f>F48+H48+J48</f>
        <v>0</v>
      </c>
      <c r="L48" s="2921"/>
      <c r="P48" s="3565" t="str">
        <f>A48</f>
        <v>比较价值（元/平方米）</v>
      </c>
      <c r="Q48" s="3565"/>
      <c r="R48" s="3566" t="e">
        <f>IF(E1="售价",ROUND(PRODUCT(R47,AA7:AA46),0),ROUND(PRODUCT(R47,AA7:AA46),1))</f>
        <v>#DIV/0!</v>
      </c>
      <c r="S48" s="3566"/>
      <c r="T48" s="3633" t="e">
        <f>IF(E1="售价",ROUND(PRODUCT(T47,AB7:AB46),0),ROUND(PRODUCT(T47,AB7:AB46),1))</f>
        <v>#DIV/0!</v>
      </c>
      <c r="U48" s="3634"/>
      <c r="V48" s="3566" t="e">
        <f>IF(E1="售价",ROUND(PRODUCT(V47,AC7:AC46),0),ROUND(PRODUCT(V47,AC7:AC46),1))</f>
        <v>#DIV/0!</v>
      </c>
      <c r="W48" s="3566"/>
      <c r="X48" s="1720"/>
      <c r="Y48" s="1720"/>
      <c r="Z48" s="1720"/>
      <c r="AA48" s="1720"/>
      <c r="AB48" s="1720"/>
      <c r="AC48" s="1720"/>
    </row>
    <row r="49" spans="1:29" ht="15.75" thickBot="1">
      <c r="A49" s="1728" t="s">
        <v>2050</v>
      </c>
      <c r="B49" s="1729"/>
      <c r="C49" s="1730" t="e">
        <f>R49</f>
        <v>#DIV/0!</v>
      </c>
      <c r="D49" s="1731"/>
      <c r="E49" s="1731"/>
      <c r="F49" s="1731"/>
      <c r="G49" s="1731"/>
      <c r="H49" s="1731"/>
      <c r="I49" s="1731"/>
      <c r="J49" s="1731"/>
      <c r="K49" s="1732"/>
      <c r="L49" s="2921"/>
      <c r="P49" s="3567" t="str">
        <f>A49</f>
        <v>估价对象XX用房的比较价值（楼面单价，元/平方米）</v>
      </c>
      <c r="Q49" s="3568"/>
      <c r="R49" s="3569" t="e">
        <f>IF(E1="售价",ROUND(IF(D48="简单平均",AVERAGE(R48:V48),R48*F48+T48*H48+V48*J48),0),ROUND(IF(D48="简单平均",AVERAGE(R48:V48),R48*F48+T48*H48+V48*J48),1))</f>
        <v>#DIV/0!</v>
      </c>
      <c r="S49" s="3569"/>
      <c r="T49" s="3569"/>
      <c r="U49" s="3569"/>
      <c r="V49" s="3569"/>
      <c r="W49" s="3569"/>
      <c r="X49" s="1720"/>
      <c r="Y49" s="1720"/>
      <c r="Z49" s="1720"/>
      <c r="AA49" s="1720"/>
      <c r="AB49" s="1720"/>
      <c r="AC49" s="1720"/>
    </row>
    <row r="50" spans="1:29">
      <c r="G50" s="2925"/>
    </row>
    <row r="52" spans="1:29" ht="13.5" customHeight="1">
      <c r="C52" s="383" t="s">
        <v>2051</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2052</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2053</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c r="D1" s="2388"/>
      <c r="E1" s="1569"/>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2004</v>
      </c>
      <c r="D3" s="1588">
        <f>IF(C1="仅计算典型户型",'数据-取费表'!E5,'数据-取费表'!B5)</f>
        <v>176.29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2005</v>
      </c>
      <c r="B4" s="1592"/>
      <c r="C4" s="3587" t="s">
        <v>2006</v>
      </c>
      <c r="D4" s="3588"/>
      <c r="E4" s="3589" t="s">
        <v>2007</v>
      </c>
      <c r="F4" s="3590"/>
      <c r="G4" s="3587" t="s">
        <v>2008</v>
      </c>
      <c r="H4" s="3588"/>
      <c r="I4" s="3587" t="s">
        <v>2009</v>
      </c>
      <c r="J4" s="3588"/>
      <c r="K4" s="1894" t="s">
        <v>2010</v>
      </c>
      <c r="L4" s="2915"/>
      <c r="M4" s="2916"/>
      <c r="N4" s="2916"/>
      <c r="O4" s="2916"/>
      <c r="P4" s="3591" t="s">
        <v>2011</v>
      </c>
      <c r="Q4" s="3592"/>
      <c r="R4" s="3575" t="s">
        <v>2007</v>
      </c>
      <c r="S4" s="3576"/>
      <c r="T4" s="3575" t="s">
        <v>2008</v>
      </c>
      <c r="U4" s="3576"/>
      <c r="V4" s="3597" t="s">
        <v>2009</v>
      </c>
      <c r="W4" s="3597"/>
      <c r="X4" s="2003"/>
      <c r="Y4" s="3575" t="s">
        <v>2011</v>
      </c>
      <c r="Z4" s="3576"/>
      <c r="AA4" s="3584" t="s">
        <v>2007</v>
      </c>
      <c r="AB4" s="3597" t="s">
        <v>2008</v>
      </c>
      <c r="AC4" s="3584" t="s">
        <v>2009</v>
      </c>
    </row>
    <row r="5" spans="1:29" ht="15">
      <c r="A5" s="1596"/>
      <c r="B5" s="1597"/>
      <c r="C5" s="3600" t="s">
        <v>2012</v>
      </c>
      <c r="D5" s="3601"/>
      <c r="E5" s="3598" t="s">
        <v>2013</v>
      </c>
      <c r="F5" s="3599"/>
      <c r="G5" s="3600" t="s">
        <v>2014</v>
      </c>
      <c r="H5" s="3601"/>
      <c r="I5" s="3600" t="s">
        <v>2015</v>
      </c>
      <c r="J5" s="3601"/>
      <c r="K5" s="1894"/>
      <c r="L5" s="2915"/>
      <c r="M5" s="2916"/>
      <c r="N5" s="2916"/>
      <c r="O5" s="2916"/>
      <c r="P5" s="3593"/>
      <c r="Q5" s="3594"/>
      <c r="R5" s="3577"/>
      <c r="S5" s="3578"/>
      <c r="T5" s="3577"/>
      <c r="U5" s="3578"/>
      <c r="V5" s="3597"/>
      <c r="W5" s="3597"/>
      <c r="X5" s="2003"/>
      <c r="Y5" s="3577"/>
      <c r="Z5" s="3578"/>
      <c r="AA5" s="3585"/>
      <c r="AB5" s="3597"/>
      <c r="AC5" s="3585"/>
    </row>
    <row r="6" spans="1:29" ht="15.75" thickBot="1">
      <c r="A6" s="1599"/>
      <c r="B6" s="1600"/>
      <c r="C6" s="3602" t="s">
        <v>2016</v>
      </c>
      <c r="D6" s="3603"/>
      <c r="E6" s="3604" t="s">
        <v>2016</v>
      </c>
      <c r="F6" s="3605"/>
      <c r="G6" s="3602" t="s">
        <v>2016</v>
      </c>
      <c r="H6" s="3603"/>
      <c r="I6" s="3602" t="s">
        <v>2016</v>
      </c>
      <c r="J6" s="3603"/>
      <c r="K6" s="1894" t="s">
        <v>2017</v>
      </c>
      <c r="L6" s="2915"/>
      <c r="M6" s="2916"/>
      <c r="N6" s="2916"/>
      <c r="O6" s="2916"/>
      <c r="P6" s="3595"/>
      <c r="Q6" s="3596"/>
      <c r="R6" s="3577"/>
      <c r="S6" s="3578"/>
      <c r="T6" s="3579"/>
      <c r="U6" s="3580"/>
      <c r="V6" s="3597"/>
      <c r="W6" s="3597"/>
      <c r="X6" s="2003"/>
      <c r="Y6" s="3579"/>
      <c r="Z6" s="3580"/>
      <c r="AA6" s="3586"/>
      <c r="AB6" s="3597"/>
      <c r="AC6" s="3586"/>
    </row>
    <row r="7" spans="1:29" s="1613" customFormat="1" ht="15.75" thickBot="1">
      <c r="A7" s="1601" t="s">
        <v>2018</v>
      </c>
      <c r="B7" s="1602"/>
      <c r="C7" s="1603">
        <f>'数据-取费表'!B2</f>
        <v>44676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29" s="1613" customFormat="1" ht="15.75" thickBot="1">
      <c r="A8" s="1601" t="s">
        <v>2020</v>
      </c>
      <c r="B8" s="1602"/>
      <c r="C8" s="1614" t="s">
        <v>2021</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6" si="3">D8/F8</f>
        <v>#DIV/0!</v>
      </c>
      <c r="AB8" s="1612" t="e">
        <f t="shared" ref="AB8:AB46" si="4">D8/H8</f>
        <v>#DIV/0!</v>
      </c>
      <c r="AC8" s="1612" t="e">
        <f t="shared" ref="AC8:AC46" si="5">D8/J8</f>
        <v>#DIV/0!</v>
      </c>
    </row>
    <row r="9" spans="1:29" s="1613" customFormat="1">
      <c r="A9" s="1995" t="s">
        <v>2023</v>
      </c>
      <c r="B9" s="1616" t="s">
        <v>2024</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0" t="s">
        <v>2025</v>
      </c>
      <c r="Q9" s="1994"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0"/>
      <c r="Q10" s="1994" t="str">
        <f t="shared" si="6"/>
        <v>土地使用年限（年）</v>
      </c>
      <c r="R10" s="1609" t="s">
        <v>25</v>
      </c>
      <c r="S10" s="1610">
        <f t="shared" si="0"/>
        <v>100</v>
      </c>
      <c r="T10" s="1609" t="s">
        <v>25</v>
      </c>
      <c r="U10" s="1610">
        <f t="shared" si="1"/>
        <v>100</v>
      </c>
      <c r="V10" s="1609" t="s">
        <v>25</v>
      </c>
      <c r="W10" s="1610">
        <f t="shared" si="2"/>
        <v>100</v>
      </c>
      <c r="X10" s="1611"/>
      <c r="Y10" s="3458"/>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0"/>
      <c r="Q11" s="1994" t="str">
        <f t="shared" si="6"/>
        <v>容积率</v>
      </c>
      <c r="R11" s="1609" t="s">
        <v>25</v>
      </c>
      <c r="S11" s="1610" t="e">
        <f t="shared" si="0"/>
        <v>#N/A</v>
      </c>
      <c r="T11" s="1609" t="s">
        <v>25</v>
      </c>
      <c r="U11" s="1610" t="e">
        <f t="shared" si="1"/>
        <v>#N/A</v>
      </c>
      <c r="V11" s="1609" t="s">
        <v>25</v>
      </c>
      <c r="W11" s="1610" t="e">
        <f t="shared" si="2"/>
        <v>#N/A</v>
      </c>
      <c r="X11" s="1611"/>
      <c r="Y11" s="345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0"/>
      <c r="Q12" s="1994">
        <f t="shared" si="6"/>
        <v>111</v>
      </c>
      <c r="R12" s="1609" t="s">
        <v>25</v>
      </c>
      <c r="S12" s="1610">
        <f t="shared" si="0"/>
        <v>100</v>
      </c>
      <c r="T12" s="1609" t="s">
        <v>25</v>
      </c>
      <c r="U12" s="1610">
        <f t="shared" si="1"/>
        <v>100</v>
      </c>
      <c r="V12" s="1609" t="s">
        <v>25</v>
      </c>
      <c r="W12" s="1610">
        <f t="shared" si="2"/>
        <v>100</v>
      </c>
      <c r="X12" s="1611"/>
      <c r="Y12" s="345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0"/>
      <c r="Q13" s="1994">
        <f t="shared" si="6"/>
        <v>111</v>
      </c>
      <c r="R13" s="1609" t="s">
        <v>25</v>
      </c>
      <c r="S13" s="1610">
        <f t="shared" si="0"/>
        <v>100</v>
      </c>
      <c r="T13" s="1609" t="s">
        <v>25</v>
      </c>
      <c r="U13" s="1610">
        <f t="shared" si="1"/>
        <v>100</v>
      </c>
      <c r="V13" s="1609" t="s">
        <v>25</v>
      </c>
      <c r="W13" s="1610">
        <f t="shared" si="2"/>
        <v>100</v>
      </c>
      <c r="X13" s="1611"/>
      <c r="Y13" s="345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0"/>
      <c r="Q14" s="1994">
        <f t="shared" si="6"/>
        <v>111</v>
      </c>
      <c r="R14" s="1609" t="s">
        <v>25</v>
      </c>
      <c r="S14" s="1610">
        <f t="shared" si="0"/>
        <v>100</v>
      </c>
      <c r="T14" s="1609" t="s">
        <v>25</v>
      </c>
      <c r="U14" s="1610">
        <f t="shared" si="1"/>
        <v>100</v>
      </c>
      <c r="V14" s="1609" t="s">
        <v>25</v>
      </c>
      <c r="W14" s="1610">
        <f t="shared" si="2"/>
        <v>100</v>
      </c>
      <c r="X14" s="1611"/>
      <c r="Y14" s="3458"/>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5" t="s">
        <v>2030</v>
      </c>
      <c r="Q15" s="2000" t="str">
        <f t="shared" si="6"/>
        <v>商业繁华度</v>
      </c>
      <c r="R15" s="1654" t="s">
        <v>25</v>
      </c>
      <c r="S15" s="1655">
        <f t="shared" si="0"/>
        <v>100</v>
      </c>
      <c r="T15" s="1654" t="s">
        <v>25</v>
      </c>
      <c r="U15" s="1655">
        <f t="shared" si="1"/>
        <v>100</v>
      </c>
      <c r="V15" s="1654" t="s">
        <v>25</v>
      </c>
      <c r="W15" s="1655">
        <f t="shared" si="2"/>
        <v>100</v>
      </c>
      <c r="X15" s="2003"/>
      <c r="Y15" s="3582" t="s">
        <v>2030</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6"/>
      <c r="Q16" s="2000"/>
      <c r="R16" s="1654"/>
      <c r="S16" s="1655"/>
      <c r="T16" s="1654"/>
      <c r="U16" s="1655"/>
      <c r="V16" s="1654"/>
      <c r="W16" s="1655"/>
      <c r="X16" s="2003"/>
      <c r="Y16" s="358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6"/>
      <c r="Q17" s="2000" t="str">
        <f>B17</f>
        <v>交通便捷度</v>
      </c>
      <c r="R17" s="1654" t="s">
        <v>25</v>
      </c>
      <c r="S17" s="1655">
        <f>F17</f>
        <v>100</v>
      </c>
      <c r="T17" s="1654" t="s">
        <v>25</v>
      </c>
      <c r="U17" s="1655">
        <f>H17</f>
        <v>100</v>
      </c>
      <c r="V17" s="1654" t="s">
        <v>25</v>
      </c>
      <c r="W17" s="1655">
        <f>J17</f>
        <v>100</v>
      </c>
      <c r="X17" s="2003"/>
      <c r="Y17" s="358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6"/>
      <c r="Q18" s="2000"/>
      <c r="R18" s="1654"/>
      <c r="S18" s="1655"/>
      <c r="T18" s="1654"/>
      <c r="U18" s="1655"/>
      <c r="V18" s="1654"/>
      <c r="W18" s="1655"/>
      <c r="X18" s="2003"/>
      <c r="Y18" s="3583"/>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6"/>
      <c r="Q19" s="2000" t="str">
        <f>B19</f>
        <v>公共配套设施</v>
      </c>
      <c r="R19" s="1654" t="s">
        <v>25</v>
      </c>
      <c r="S19" s="1655">
        <f>F19</f>
        <v>100</v>
      </c>
      <c r="T19" s="1654" t="s">
        <v>25</v>
      </c>
      <c r="U19" s="1655">
        <f>H19</f>
        <v>100</v>
      </c>
      <c r="V19" s="1654" t="s">
        <v>25</v>
      </c>
      <c r="W19" s="1655">
        <f>J19</f>
        <v>100</v>
      </c>
      <c r="X19" s="2003"/>
      <c r="Y19" s="358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6"/>
      <c r="Q20" s="2000"/>
      <c r="R20" s="1654"/>
      <c r="S20" s="1655"/>
      <c r="T20" s="1654"/>
      <c r="U20" s="1655"/>
      <c r="V20" s="1654"/>
      <c r="W20" s="1655"/>
      <c r="X20" s="2003"/>
      <c r="Y20" s="3583"/>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6"/>
      <c r="Q21" s="2000" t="str">
        <f>B21</f>
        <v>基础设施水平</v>
      </c>
      <c r="R21" s="1654" t="s">
        <v>25</v>
      </c>
      <c r="S21" s="1655">
        <f>F21</f>
        <v>100</v>
      </c>
      <c r="T21" s="1654" t="s">
        <v>25</v>
      </c>
      <c r="U21" s="1655">
        <f>H21</f>
        <v>100</v>
      </c>
      <c r="V21" s="1654" t="s">
        <v>25</v>
      </c>
      <c r="W21" s="1655">
        <f>J21</f>
        <v>100</v>
      </c>
      <c r="X21" s="2003"/>
      <c r="Y21" s="358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6"/>
      <c r="Q22" s="2000"/>
      <c r="R22" s="1654"/>
      <c r="S22" s="1655"/>
      <c r="T22" s="1654"/>
      <c r="U22" s="1655"/>
      <c r="V22" s="1654"/>
      <c r="W22" s="1655"/>
      <c r="X22" s="2003"/>
      <c r="Y22" s="358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6"/>
      <c r="Q23" s="2000" t="str">
        <f>B23</f>
        <v>自然及人文环境</v>
      </c>
      <c r="R23" s="1654" t="s">
        <v>25</v>
      </c>
      <c r="S23" s="1655">
        <f>F23</f>
        <v>100</v>
      </c>
      <c r="T23" s="1654" t="s">
        <v>25</v>
      </c>
      <c r="U23" s="1655">
        <f>H23</f>
        <v>100</v>
      </c>
      <c r="V23" s="1654" t="s">
        <v>25</v>
      </c>
      <c r="W23" s="1655">
        <f>J23</f>
        <v>100</v>
      </c>
      <c r="X23" s="2003"/>
      <c r="Y23" s="358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6"/>
      <c r="Q24" s="2000"/>
      <c r="R24" s="1654"/>
      <c r="S24" s="1655"/>
      <c r="T24" s="1654"/>
      <c r="U24" s="1655"/>
      <c r="V24" s="1654"/>
      <c r="W24" s="1655"/>
      <c r="X24" s="2003"/>
      <c r="Y24" s="3583"/>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6"/>
      <c r="Q25" s="2000" t="str">
        <f t="shared" ref="Q25:Q46" si="11">B25</f>
        <v>临街状况</v>
      </c>
      <c r="R25" s="1654" t="s">
        <v>25</v>
      </c>
      <c r="S25" s="1655">
        <f>F25</f>
        <v>100</v>
      </c>
      <c r="T25" s="1654" t="s">
        <v>25</v>
      </c>
      <c r="U25" s="1655">
        <f>H25</f>
        <v>100</v>
      </c>
      <c r="V25" s="1654" t="s">
        <v>25</v>
      </c>
      <c r="W25" s="1655">
        <f>J25</f>
        <v>100</v>
      </c>
      <c r="X25" s="2003"/>
      <c r="Y25" s="3583"/>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6"/>
      <c r="Q26" s="2000" t="str">
        <f t="shared" si="11"/>
        <v>平面位置/可视性</v>
      </c>
      <c r="R26" s="1654" t="s">
        <v>25</v>
      </c>
      <c r="S26" s="1655">
        <f>F26</f>
        <v>100</v>
      </c>
      <c r="T26" s="1654" t="s">
        <v>25</v>
      </c>
      <c r="U26" s="1655">
        <f>H26</f>
        <v>100</v>
      </c>
      <c r="V26" s="1654" t="s">
        <v>25</v>
      </c>
      <c r="W26" s="1655">
        <f>J26</f>
        <v>100</v>
      </c>
      <c r="X26" s="2003"/>
      <c r="Y26" s="3583"/>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6"/>
      <c r="Q27" s="1994" t="str">
        <f t="shared" si="11"/>
        <v>人流量</v>
      </c>
      <c r="R27" s="1609" t="s">
        <v>25</v>
      </c>
      <c r="S27" s="1610">
        <f>F27</f>
        <v>100</v>
      </c>
      <c r="T27" s="1609" t="s">
        <v>25</v>
      </c>
      <c r="U27" s="1610">
        <f>H27</f>
        <v>100</v>
      </c>
      <c r="V27" s="1609" t="s">
        <v>25</v>
      </c>
      <c r="W27" s="1610">
        <f>J27</f>
        <v>100</v>
      </c>
      <c r="X27" s="1611"/>
      <c r="Y27" s="3583"/>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6"/>
      <c r="Q29" s="2000">
        <f t="shared" si="11"/>
        <v>111</v>
      </c>
      <c r="R29" s="1654" t="s">
        <v>25</v>
      </c>
      <c r="S29" s="1655">
        <f t="shared" si="12"/>
        <v>100</v>
      </c>
      <c r="T29" s="1654" t="s">
        <v>25</v>
      </c>
      <c r="U29" s="1655">
        <f t="shared" si="13"/>
        <v>100</v>
      </c>
      <c r="V29" s="1654" t="s">
        <v>25</v>
      </c>
      <c r="W29" s="1655">
        <f t="shared" si="14"/>
        <v>100</v>
      </c>
      <c r="X29" s="2003"/>
      <c r="Y29" s="358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6"/>
      <c r="Q30" s="2000">
        <f t="shared" si="11"/>
        <v>111</v>
      </c>
      <c r="R30" s="1654" t="s">
        <v>25</v>
      </c>
      <c r="S30" s="1655">
        <f t="shared" si="12"/>
        <v>100</v>
      </c>
      <c r="T30" s="1654" t="s">
        <v>25</v>
      </c>
      <c r="U30" s="1655">
        <f t="shared" si="13"/>
        <v>100</v>
      </c>
      <c r="V30" s="1654" t="s">
        <v>25</v>
      </c>
      <c r="W30" s="1655">
        <f t="shared" si="14"/>
        <v>100</v>
      </c>
      <c r="X30" s="2003"/>
      <c r="Y30" s="358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6"/>
      <c r="Q31" s="2000">
        <f t="shared" si="11"/>
        <v>111</v>
      </c>
      <c r="R31" s="1654" t="s">
        <v>25</v>
      </c>
      <c r="S31" s="1655">
        <f t="shared" si="12"/>
        <v>100</v>
      </c>
      <c r="T31" s="1654" t="s">
        <v>25</v>
      </c>
      <c r="U31" s="1655">
        <f t="shared" si="13"/>
        <v>100</v>
      </c>
      <c r="V31" s="1654" t="s">
        <v>25</v>
      </c>
      <c r="W31" s="1655">
        <f t="shared" si="14"/>
        <v>100</v>
      </c>
      <c r="X31" s="2003"/>
      <c r="Y31" s="3583"/>
      <c r="Z31" s="2007">
        <f t="shared" si="15"/>
        <v>111</v>
      </c>
      <c r="AA31" s="1998">
        <f t="shared" si="3"/>
        <v>1</v>
      </c>
      <c r="AB31" s="1998">
        <f t="shared" si="4"/>
        <v>1</v>
      </c>
      <c r="AC31" s="1998">
        <f t="shared" si="5"/>
        <v>1</v>
      </c>
    </row>
    <row r="32" spans="1:29" ht="15">
      <c r="A32" s="1646" t="s">
        <v>2034</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7" t="s">
        <v>2036</v>
      </c>
      <c r="Q32" s="2000" t="str">
        <f t="shared" si="11"/>
        <v>商业类型</v>
      </c>
      <c r="R32" s="1654" t="s">
        <v>25</v>
      </c>
      <c r="S32" s="1655">
        <f t="shared" si="12"/>
        <v>100</v>
      </c>
      <c r="T32" s="1654" t="s">
        <v>25</v>
      </c>
      <c r="U32" s="1655">
        <f t="shared" si="13"/>
        <v>100</v>
      </c>
      <c r="V32" s="1654" t="s">
        <v>25</v>
      </c>
      <c r="W32" s="1655">
        <f t="shared" si="14"/>
        <v>100</v>
      </c>
      <c r="X32" s="2003"/>
      <c r="Y32" s="3571" t="s">
        <v>2036</v>
      </c>
      <c r="Z32" s="2007" t="str">
        <f t="shared" si="15"/>
        <v>商业类型</v>
      </c>
      <c r="AA32" s="1998">
        <f t="shared" si="3"/>
        <v>1</v>
      </c>
      <c r="AB32" s="1998">
        <f t="shared" si="4"/>
        <v>1</v>
      </c>
      <c r="AC32" s="1998">
        <f t="shared" si="5"/>
        <v>1</v>
      </c>
    </row>
    <row r="33" spans="1:29" s="1700" customFormat="1" ht="15">
      <c r="A33" s="1693"/>
      <c r="B33" s="1624" t="s">
        <v>2037</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8"/>
      <c r="Q33" s="1695" t="str">
        <f t="shared" si="11"/>
        <v>项目建筑规模</v>
      </c>
      <c r="R33" s="1696" t="s">
        <v>25</v>
      </c>
      <c r="S33" s="1697" t="e">
        <f t="shared" si="12"/>
        <v>#N/A</v>
      </c>
      <c r="T33" s="1696" t="s">
        <v>25</v>
      </c>
      <c r="U33" s="1697" t="e">
        <f t="shared" si="13"/>
        <v>#N/A</v>
      </c>
      <c r="V33" s="1696" t="s">
        <v>25</v>
      </c>
      <c r="W33" s="1697" t="e">
        <f t="shared" si="14"/>
        <v>#N/A</v>
      </c>
      <c r="X33" s="1698"/>
      <c r="Y33" s="3571"/>
      <c r="Z33" s="1699" t="str">
        <f t="shared" si="15"/>
        <v>项目建筑规模</v>
      </c>
      <c r="AA33" s="1998" t="e">
        <f t="shared" si="3"/>
        <v>#N/A</v>
      </c>
      <c r="AB33" s="1998" t="e">
        <f t="shared" si="4"/>
        <v>#N/A</v>
      </c>
      <c r="AC33" s="1998" t="e">
        <f t="shared" si="5"/>
        <v>#N/A</v>
      </c>
    </row>
    <row r="34" spans="1:29" ht="15">
      <c r="A34" s="1701"/>
      <c r="B34" s="1624" t="s">
        <v>2038</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8"/>
      <c r="Q34" s="2000" t="str">
        <f t="shared" si="11"/>
        <v>建筑结构</v>
      </c>
      <c r="R34" s="1654" t="s">
        <v>25</v>
      </c>
      <c r="S34" s="1655">
        <f t="shared" si="12"/>
        <v>100</v>
      </c>
      <c r="T34" s="1654" t="s">
        <v>25</v>
      </c>
      <c r="U34" s="1655">
        <f t="shared" si="13"/>
        <v>100</v>
      </c>
      <c r="V34" s="1654" t="s">
        <v>25</v>
      </c>
      <c r="W34" s="1655">
        <f t="shared" si="14"/>
        <v>100</v>
      </c>
      <c r="X34" s="2003"/>
      <c r="Y34" s="3571"/>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8"/>
      <c r="Q35" s="2000" t="str">
        <f t="shared" si="11"/>
        <v>公共部分装修</v>
      </c>
      <c r="R35" s="1654" t="s">
        <v>25</v>
      </c>
      <c r="S35" s="1655">
        <f t="shared" si="12"/>
        <v>100</v>
      </c>
      <c r="T35" s="1654" t="s">
        <v>25</v>
      </c>
      <c r="U35" s="1655">
        <f t="shared" si="13"/>
        <v>100</v>
      </c>
      <c r="V35" s="1654" t="s">
        <v>25</v>
      </c>
      <c r="W35" s="1655">
        <f t="shared" si="14"/>
        <v>100</v>
      </c>
      <c r="X35" s="2003"/>
      <c r="Y35" s="3571"/>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8"/>
      <c r="Q36" s="2000" t="str">
        <f t="shared" si="11"/>
        <v>成新度</v>
      </c>
      <c r="R36" s="1654" t="s">
        <v>25</v>
      </c>
      <c r="S36" s="1655" t="e">
        <f t="shared" si="12"/>
        <v>#N/A</v>
      </c>
      <c r="T36" s="1654" t="s">
        <v>25</v>
      </c>
      <c r="U36" s="1655" t="e">
        <f t="shared" si="13"/>
        <v>#N/A</v>
      </c>
      <c r="V36" s="1654" t="s">
        <v>25</v>
      </c>
      <c r="W36" s="1655" t="e">
        <f t="shared" si="14"/>
        <v>#N/A</v>
      </c>
      <c r="X36" s="2003"/>
      <c r="Y36" s="3571"/>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8"/>
      <c r="Q37" s="1994" t="str">
        <f t="shared" si="11"/>
        <v>市政基础设施</v>
      </c>
      <c r="R37" s="1609" t="s">
        <v>25</v>
      </c>
      <c r="S37" s="1610">
        <f t="shared" si="12"/>
        <v>100</v>
      </c>
      <c r="T37" s="1609" t="s">
        <v>25</v>
      </c>
      <c r="U37" s="1610">
        <f t="shared" si="13"/>
        <v>100</v>
      </c>
      <c r="V37" s="1609" t="s">
        <v>25</v>
      </c>
      <c r="W37" s="1610">
        <f t="shared" si="14"/>
        <v>100</v>
      </c>
      <c r="X37" s="1611"/>
      <c r="Y37" s="3571"/>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8" t="s">
        <v>2036</v>
      </c>
      <c r="Q38" s="2000" t="str">
        <f t="shared" si="11"/>
        <v>业态</v>
      </c>
      <c r="R38" s="1654" t="s">
        <v>25</v>
      </c>
      <c r="S38" s="1655">
        <f t="shared" si="12"/>
        <v>100</v>
      </c>
      <c r="T38" s="1654" t="s">
        <v>25</v>
      </c>
      <c r="U38" s="1655">
        <f t="shared" si="13"/>
        <v>100</v>
      </c>
      <c r="V38" s="1654" t="s">
        <v>25</v>
      </c>
      <c r="W38" s="1655">
        <f t="shared" si="14"/>
        <v>100</v>
      </c>
      <c r="X38" s="2003"/>
      <c r="Y38" s="3571" t="s">
        <v>2036</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8"/>
      <c r="Q39" s="2000" t="str">
        <f t="shared" si="11"/>
        <v>层高</v>
      </c>
      <c r="R39" s="1654" t="s">
        <v>25</v>
      </c>
      <c r="S39" s="1655">
        <f t="shared" si="12"/>
        <v>100</v>
      </c>
      <c r="T39" s="1654" t="s">
        <v>25</v>
      </c>
      <c r="U39" s="1655">
        <f t="shared" si="13"/>
        <v>100</v>
      </c>
      <c r="V39" s="1654" t="s">
        <v>25</v>
      </c>
      <c r="W39" s="1655">
        <f t="shared" si="14"/>
        <v>100</v>
      </c>
      <c r="X39" s="2003"/>
      <c r="Y39" s="3571"/>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8"/>
      <c r="Q40" s="2000" t="str">
        <f t="shared" si="11"/>
        <v>单套建筑面积</v>
      </c>
      <c r="R40" s="1654" t="s">
        <v>25</v>
      </c>
      <c r="S40" s="1655">
        <f t="shared" si="12"/>
        <v>100</v>
      </c>
      <c r="T40" s="1654" t="s">
        <v>25</v>
      </c>
      <c r="U40" s="1655">
        <f t="shared" si="13"/>
        <v>100</v>
      </c>
      <c r="V40" s="1654" t="s">
        <v>25</v>
      </c>
      <c r="W40" s="1655">
        <f t="shared" si="14"/>
        <v>100</v>
      </c>
      <c r="X40" s="2003"/>
      <c r="Y40" s="3571"/>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8"/>
      <c r="Q41" s="1695" t="str">
        <f t="shared" si="11"/>
        <v>进深比</v>
      </c>
      <c r="R41" s="1696" t="s">
        <v>25</v>
      </c>
      <c r="S41" s="1697">
        <f t="shared" si="12"/>
        <v>100</v>
      </c>
      <c r="T41" s="1696" t="s">
        <v>25</v>
      </c>
      <c r="U41" s="1697">
        <f t="shared" si="13"/>
        <v>100</v>
      </c>
      <c r="V41" s="1696" t="s">
        <v>25</v>
      </c>
      <c r="W41" s="1697">
        <f t="shared" si="14"/>
        <v>100</v>
      </c>
      <c r="X41" s="1698"/>
      <c r="Y41" s="3571"/>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8"/>
      <c r="Q42" s="2000" t="str">
        <f t="shared" si="11"/>
        <v>内部装修</v>
      </c>
      <c r="R42" s="1654" t="s">
        <v>25</v>
      </c>
      <c r="S42" s="1655">
        <f t="shared" si="12"/>
        <v>100</v>
      </c>
      <c r="T42" s="1654" t="s">
        <v>25</v>
      </c>
      <c r="U42" s="1655">
        <f t="shared" si="13"/>
        <v>100</v>
      </c>
      <c r="V42" s="1654" t="s">
        <v>25</v>
      </c>
      <c r="W42" s="1655">
        <f t="shared" si="14"/>
        <v>100</v>
      </c>
      <c r="X42" s="2003"/>
      <c r="Y42" s="3571"/>
      <c r="Z42" s="2007" t="str">
        <f t="shared" si="15"/>
        <v>内部装修</v>
      </c>
      <c r="AA42" s="1998">
        <f t="shared" si="3"/>
        <v>1</v>
      </c>
      <c r="AB42" s="1998">
        <f t="shared" si="4"/>
        <v>1</v>
      </c>
      <c r="AC42" s="1998">
        <f t="shared" si="5"/>
        <v>1</v>
      </c>
    </row>
    <row r="43" spans="1:29" ht="15">
      <c r="A43" s="1701"/>
      <c r="B43" s="1624" t="s">
        <v>2047</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8"/>
      <c r="Q43" s="2000" t="str">
        <f t="shared" si="11"/>
        <v>内部装修维护情况</v>
      </c>
      <c r="R43" s="1654" t="s">
        <v>25</v>
      </c>
      <c r="S43" s="1655">
        <f t="shared" si="12"/>
        <v>100</v>
      </c>
      <c r="T43" s="1654" t="s">
        <v>25</v>
      </c>
      <c r="U43" s="1655">
        <f t="shared" si="13"/>
        <v>100</v>
      </c>
      <c r="V43" s="1654" t="s">
        <v>25</v>
      </c>
      <c r="W43" s="1655">
        <f t="shared" si="14"/>
        <v>100</v>
      </c>
      <c r="X43" s="2003"/>
      <c r="Y43" s="3571"/>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8"/>
      <c r="Q44" s="1994">
        <f t="shared" si="11"/>
        <v>111</v>
      </c>
      <c r="R44" s="1609" t="s">
        <v>25</v>
      </c>
      <c r="S44" s="1610">
        <f t="shared" si="12"/>
        <v>100</v>
      </c>
      <c r="T44" s="1609" t="s">
        <v>25</v>
      </c>
      <c r="U44" s="1610">
        <f t="shared" si="13"/>
        <v>100</v>
      </c>
      <c r="V44" s="1609" t="s">
        <v>25</v>
      </c>
      <c r="W44" s="1610">
        <f t="shared" si="14"/>
        <v>100</v>
      </c>
      <c r="X44" s="1611"/>
      <c r="Y44" s="3571"/>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8"/>
      <c r="Q45" s="2000">
        <f t="shared" si="11"/>
        <v>111</v>
      </c>
      <c r="R45" s="1654" t="s">
        <v>25</v>
      </c>
      <c r="S45" s="1655">
        <f t="shared" si="12"/>
        <v>100</v>
      </c>
      <c r="T45" s="1654" t="s">
        <v>25</v>
      </c>
      <c r="U45" s="1655">
        <f t="shared" si="13"/>
        <v>100</v>
      </c>
      <c r="V45" s="1654" t="s">
        <v>25</v>
      </c>
      <c r="W45" s="1655">
        <f t="shared" si="14"/>
        <v>100</v>
      </c>
      <c r="X45" s="2003"/>
      <c r="Y45" s="3571"/>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9"/>
      <c r="Q46" s="2000">
        <f t="shared" si="11"/>
        <v>111</v>
      </c>
      <c r="R46" s="1654" t="s">
        <v>25</v>
      </c>
      <c r="S46" s="1655">
        <f t="shared" si="12"/>
        <v>100</v>
      </c>
      <c r="T46" s="1654" t="s">
        <v>25</v>
      </c>
      <c r="U46" s="1655">
        <f t="shared" si="13"/>
        <v>100</v>
      </c>
      <c r="V46" s="1654" t="s">
        <v>25</v>
      </c>
      <c r="W46" s="1655">
        <f t="shared" si="14"/>
        <v>100</v>
      </c>
      <c r="X46" s="2003"/>
      <c r="Y46" s="3572"/>
      <c r="Z46" s="2007">
        <f t="shared" si="15"/>
        <v>111</v>
      </c>
      <c r="AA46" s="1998">
        <f t="shared" si="3"/>
        <v>1</v>
      </c>
      <c r="AB46" s="1998">
        <f t="shared" si="4"/>
        <v>1</v>
      </c>
      <c r="AC46" s="1998">
        <f t="shared" si="5"/>
        <v>1</v>
      </c>
    </row>
    <row r="47" spans="1:29" ht="15">
      <c r="A47" s="1710" t="s">
        <v>2048</v>
      </c>
      <c r="B47" s="1711"/>
      <c r="C47" s="1712" t="s">
        <v>1</v>
      </c>
      <c r="D47" s="1713"/>
      <c r="E47" s="1714"/>
      <c r="F47" s="1715"/>
      <c r="G47" s="1716"/>
      <c r="H47" s="1717"/>
      <c r="I47" s="1714"/>
      <c r="J47" s="1717"/>
      <c r="K47" s="1942"/>
      <c r="L47" s="2921"/>
      <c r="N47" s="2916"/>
      <c r="P47" s="3565" t="str">
        <f>A47</f>
        <v>成交单价（元/平方米）</v>
      </c>
      <c r="Q47" s="3565"/>
      <c r="R47" s="3566">
        <f>E47</f>
        <v>0</v>
      </c>
      <c r="S47" s="3566"/>
      <c r="T47" s="3566">
        <f>G47</f>
        <v>0</v>
      </c>
      <c r="U47" s="3566"/>
      <c r="V47" s="3566">
        <f>I47</f>
        <v>0</v>
      </c>
      <c r="W47" s="3566"/>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1"/>
      <c r="N48" s="2916"/>
      <c r="P48" s="3565" t="str">
        <f>A48</f>
        <v>比较价值（元/平方米）</v>
      </c>
      <c r="Q48" s="3565"/>
      <c r="R48" s="3566" t="e">
        <f>IF(E1="售价",ROUND(PRODUCT(R47,AA7:AA46),0),ROUND(PRODUCT(R47,AA7:AA46),1))</f>
        <v>#DIV/0!</v>
      </c>
      <c r="S48" s="3566"/>
      <c r="T48" s="3566" t="e">
        <f>IF(E1="售价",ROUND(PRODUCT(T47,AB7:AB46),0),ROUND(PRODUCT(T47,AB7:AB46),1))</f>
        <v>#DIV/0!</v>
      </c>
      <c r="U48" s="3566"/>
      <c r="V48" s="3566" t="e">
        <f>IF(E1="售价",ROUND(PRODUCT(V47,AC7:AC46),0),ROUND(PRODUCT(V47,AC7:AC46),1))</f>
        <v>#DIV/0!</v>
      </c>
      <c r="W48" s="3566"/>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1"/>
      <c r="N49" s="2916"/>
      <c r="P49" s="3567" t="str">
        <f>A49</f>
        <v>估价对象XX用房的比较价值（楼面单价，元/平方米）</v>
      </c>
      <c r="Q49" s="3568"/>
      <c r="R49" s="3569" t="e">
        <f>IF(E1="售价",ROUND(IF(D48="简单平均",AVERAGE(R48:V48),R48*F48+T48*H48+V48*J48),0),ROUND(IF(D48="简单平均",AVERAGE(R48:V48),R48*F48+T48*H48+V48*J48),1))</f>
        <v>#DIV/0!</v>
      </c>
      <c r="S49" s="3569"/>
      <c r="T49" s="3569"/>
      <c r="U49" s="3569"/>
      <c r="V49" s="3569"/>
      <c r="W49" s="356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2022-4</v>
      </c>
      <c r="D58" s="1754">
        <f>EDATE(C58,-1)</f>
        <v>44621</v>
      </c>
      <c r="E58" s="1754">
        <f t="shared" ref="E58:O58" si="16">EDATE(D58,-1)</f>
        <v>44593</v>
      </c>
      <c r="F58" s="1754">
        <f t="shared" si="16"/>
        <v>44562</v>
      </c>
      <c r="G58" s="1754">
        <f t="shared" si="16"/>
        <v>44531</v>
      </c>
      <c r="H58" s="1754">
        <f t="shared" si="16"/>
        <v>44501</v>
      </c>
      <c r="I58" s="1754">
        <f t="shared" si="16"/>
        <v>44470</v>
      </c>
      <c r="J58" s="1754">
        <f t="shared" si="16"/>
        <v>44440</v>
      </c>
      <c r="K58" s="1754">
        <f t="shared" si="16"/>
        <v>44409</v>
      </c>
      <c r="L58" s="1754">
        <f t="shared" si="16"/>
        <v>44378</v>
      </c>
      <c r="M58" s="1754">
        <f t="shared" si="16"/>
        <v>44348</v>
      </c>
      <c r="N58" s="1754">
        <f t="shared" si="16"/>
        <v>44317</v>
      </c>
      <c r="O58" s="1754">
        <f t="shared" si="16"/>
        <v>44287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2024</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2028</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2034</v>
      </c>
      <c r="B100" s="1776" t="s">
        <v>2138</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2085</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2087</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2139</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2092</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176.29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44676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9" t="s">
        <v>2019</v>
      </c>
      <c r="Q7" s="3657"/>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1" t="s">
        <v>2025</v>
      </c>
      <c r="Q9" s="1255" t="str">
        <f t="shared" ref="Q9:Q15" si="6">B9</f>
        <v>用途</v>
      </c>
      <c r="R9" s="627" t="s">
        <v>25</v>
      </c>
      <c r="S9" s="628">
        <f t="shared" si="0"/>
        <v>100</v>
      </c>
      <c r="T9" s="627" t="s">
        <v>25</v>
      </c>
      <c r="U9" s="628">
        <f t="shared" si="1"/>
        <v>100</v>
      </c>
      <c r="V9" s="627" t="s">
        <v>25</v>
      </c>
      <c r="W9" s="628">
        <f t="shared" si="2"/>
        <v>100</v>
      </c>
      <c r="X9" s="629"/>
      <c r="Y9" s="3660"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8" t="s">
        <v>2030</v>
      </c>
      <c r="Q15" s="1262" t="str">
        <f t="shared" si="6"/>
        <v>产业集聚程度</v>
      </c>
      <c r="R15" s="631" t="s">
        <v>25</v>
      </c>
      <c r="S15" s="632">
        <f t="shared" si="0"/>
        <v>100</v>
      </c>
      <c r="T15" s="631" t="s">
        <v>25</v>
      </c>
      <c r="U15" s="632">
        <f t="shared" si="1"/>
        <v>100</v>
      </c>
      <c r="V15" s="631" t="s">
        <v>25</v>
      </c>
      <c r="W15" s="632">
        <f t="shared" si="2"/>
        <v>100</v>
      </c>
      <c r="X15" s="1263"/>
      <c r="Y15" s="3658"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9"/>
      <c r="Q18" s="1262"/>
      <c r="R18" s="631"/>
      <c r="S18" s="632"/>
      <c r="T18" s="631"/>
      <c r="U18" s="632"/>
      <c r="V18" s="631"/>
      <c r="W18" s="632"/>
      <c r="X18" s="1263"/>
      <c r="Y18" s="3659"/>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9"/>
      <c r="Q20" s="1262"/>
      <c r="R20" s="631"/>
      <c r="S20" s="632"/>
      <c r="T20" s="631"/>
      <c r="U20" s="632"/>
      <c r="V20" s="631"/>
      <c r="W20" s="632"/>
      <c r="X20" s="1263"/>
      <c r="Y20" s="3659"/>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9"/>
      <c r="Q22" s="1262"/>
      <c r="R22" s="631"/>
      <c r="S22" s="632"/>
      <c r="T22" s="631"/>
      <c r="U22" s="632"/>
      <c r="V22" s="631"/>
      <c r="W22" s="632"/>
      <c r="X22" s="1263"/>
      <c r="Y22" s="3659"/>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6" t="s">
        <v>2036</v>
      </c>
      <c r="Q29" s="1262" t="str">
        <f t="shared" si="11"/>
        <v>建筑类型</v>
      </c>
      <c r="R29" s="631" t="s">
        <v>25</v>
      </c>
      <c r="S29" s="632">
        <f t="shared" si="12"/>
        <v>100</v>
      </c>
      <c r="T29" s="631" t="s">
        <v>25</v>
      </c>
      <c r="U29" s="632">
        <f t="shared" si="13"/>
        <v>100</v>
      </c>
      <c r="V29" s="631" t="s">
        <v>25</v>
      </c>
      <c r="W29" s="632">
        <f t="shared" si="14"/>
        <v>100</v>
      </c>
      <c r="X29" s="1263"/>
      <c r="Y29" s="3647"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7" t="s">
        <v>2036</v>
      </c>
      <c r="Q35" s="1262" t="str">
        <f t="shared" si="11"/>
        <v>市政基础设施</v>
      </c>
      <c r="R35" s="631" t="s">
        <v>25</v>
      </c>
      <c r="S35" s="632">
        <f t="shared" si="12"/>
        <v>100</v>
      </c>
      <c r="T35" s="631" t="s">
        <v>25</v>
      </c>
      <c r="U35" s="632">
        <f t="shared" si="13"/>
        <v>100</v>
      </c>
      <c r="V35" s="631" t="s">
        <v>25</v>
      </c>
      <c r="W35" s="632">
        <f t="shared" si="14"/>
        <v>100</v>
      </c>
      <c r="X35" s="1263"/>
      <c r="Y35" s="3647"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5"/>
      <c r="N41" s="2944"/>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2018</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176.29</v>
      </c>
      <c r="E3" s="797" t="s">
        <v>2166</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44676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9" t="s">
        <v>2019</v>
      </c>
      <c r="Q7" s="3657"/>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1" t="s">
        <v>2025</v>
      </c>
      <c r="Q9" s="1255" t="str">
        <f t="shared" ref="Q9:Q14" si="6">B9</f>
        <v>用途</v>
      </c>
      <c r="R9" s="627" t="s">
        <v>25</v>
      </c>
      <c r="S9" s="628">
        <f t="shared" si="0"/>
        <v>100</v>
      </c>
      <c r="T9" s="627" t="s">
        <v>25</v>
      </c>
      <c r="U9" s="628">
        <f t="shared" si="1"/>
        <v>100</v>
      </c>
      <c r="V9" s="627" t="s">
        <v>25</v>
      </c>
      <c r="W9" s="628">
        <f t="shared" si="2"/>
        <v>100</v>
      </c>
      <c r="X9" s="629"/>
      <c r="Y9" s="3660"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8" t="s">
        <v>2030</v>
      </c>
      <c r="Q14" s="1262" t="str">
        <f t="shared" si="6"/>
        <v>交通便捷度</v>
      </c>
      <c r="R14" s="631" t="s">
        <v>25</v>
      </c>
      <c r="S14" s="632">
        <f t="shared" si="0"/>
        <v>100</v>
      </c>
      <c r="T14" s="631" t="s">
        <v>25</v>
      </c>
      <c r="U14" s="632">
        <f t="shared" si="1"/>
        <v>100</v>
      </c>
      <c r="V14" s="631" t="s">
        <v>25</v>
      </c>
      <c r="W14" s="632">
        <f t="shared" si="2"/>
        <v>100</v>
      </c>
      <c r="X14" s="1263"/>
      <c r="Y14" s="3658"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6"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7" t="s">
        <v>2036</v>
      </c>
      <c r="Q32" s="1262" t="str">
        <f t="shared" si="11"/>
        <v>车位类型</v>
      </c>
      <c r="R32" s="631" t="s">
        <v>25</v>
      </c>
      <c r="S32" s="632">
        <f t="shared" si="12"/>
        <v>100</v>
      </c>
      <c r="T32" s="631" t="s">
        <v>25</v>
      </c>
      <c r="U32" s="632">
        <f t="shared" si="13"/>
        <v>100</v>
      </c>
      <c r="V32" s="631" t="s">
        <v>25</v>
      </c>
      <c r="W32" s="632">
        <f t="shared" si="14"/>
        <v>100</v>
      </c>
      <c r="X32" s="1263"/>
      <c r="Y32" s="3647"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176.29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44676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9" t="s">
        <v>2019</v>
      </c>
      <c r="Q7" s="3657"/>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1" t="s">
        <v>2025</v>
      </c>
      <c r="Q9" s="1255" t="str">
        <f t="shared" ref="Q9:Q14" si="6">B9</f>
        <v>用途</v>
      </c>
      <c r="R9" s="627" t="s">
        <v>25</v>
      </c>
      <c r="S9" s="628">
        <f t="shared" si="0"/>
        <v>100</v>
      </c>
      <c r="T9" s="627" t="s">
        <v>25</v>
      </c>
      <c r="U9" s="628">
        <f t="shared" si="1"/>
        <v>100</v>
      </c>
      <c r="V9" s="627" t="s">
        <v>25</v>
      </c>
      <c r="W9" s="628">
        <f t="shared" si="2"/>
        <v>100</v>
      </c>
      <c r="X9" s="629"/>
      <c r="Y9" s="3660"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8" t="s">
        <v>2030</v>
      </c>
      <c r="Q14" s="1262" t="str">
        <f t="shared" si="6"/>
        <v>交通便捷度</v>
      </c>
      <c r="R14" s="631" t="s">
        <v>25</v>
      </c>
      <c r="S14" s="632">
        <f t="shared" si="0"/>
        <v>100</v>
      </c>
      <c r="T14" s="631" t="s">
        <v>25</v>
      </c>
      <c r="U14" s="632">
        <f t="shared" si="1"/>
        <v>100</v>
      </c>
      <c r="V14" s="631" t="s">
        <v>25</v>
      </c>
      <c r="W14" s="632">
        <f t="shared" si="2"/>
        <v>100</v>
      </c>
      <c r="X14" s="1263"/>
      <c r="Y14" s="3658"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6"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7" t="s">
        <v>2036</v>
      </c>
      <c r="Q32" s="1262">
        <f t="shared" si="11"/>
        <v>111</v>
      </c>
      <c r="R32" s="631" t="s">
        <v>25</v>
      </c>
      <c r="S32" s="632">
        <f t="shared" si="12"/>
        <v>100</v>
      </c>
      <c r="T32" s="631" t="s">
        <v>25</v>
      </c>
      <c r="U32" s="632">
        <f t="shared" si="13"/>
        <v>100</v>
      </c>
      <c r="V32" s="631" t="s">
        <v>25</v>
      </c>
      <c r="W32" s="632">
        <f t="shared" si="14"/>
        <v>100</v>
      </c>
      <c r="X32" s="1263"/>
      <c r="Y32" s="3647"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5"/>
      <c r="N35" s="2944"/>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2018</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2005</v>
      </c>
      <c r="B4" s="1592"/>
      <c r="C4" s="3587" t="s">
        <v>2006</v>
      </c>
      <c r="D4" s="3588"/>
      <c r="E4" s="3589" t="s">
        <v>2007</v>
      </c>
      <c r="F4" s="3590"/>
      <c r="G4" s="3587" t="s">
        <v>2008</v>
      </c>
      <c r="H4" s="3588"/>
      <c r="I4" s="3587" t="s">
        <v>2009</v>
      </c>
      <c r="J4" s="3588"/>
      <c r="K4" s="1894" t="s">
        <v>2010</v>
      </c>
      <c r="L4" s="2915"/>
      <c r="M4" s="2916"/>
      <c r="N4" s="2916"/>
      <c r="O4" s="2916"/>
      <c r="P4" s="3591" t="s">
        <v>2011</v>
      </c>
      <c r="Q4" s="3592"/>
      <c r="R4" s="3575" t="s">
        <v>2007</v>
      </c>
      <c r="S4" s="3576"/>
      <c r="T4" s="3575" t="s">
        <v>2008</v>
      </c>
      <c r="U4" s="3576"/>
      <c r="V4" s="3597" t="s">
        <v>2009</v>
      </c>
      <c r="W4" s="3597"/>
      <c r="X4" s="1594"/>
      <c r="Y4" s="3575" t="s">
        <v>2011</v>
      </c>
      <c r="Z4" s="3576"/>
      <c r="AA4" s="3584" t="s">
        <v>2007</v>
      </c>
      <c r="AB4" s="3585" t="s">
        <v>2008</v>
      </c>
      <c r="AC4" s="3584" t="s">
        <v>2009</v>
      </c>
    </row>
    <row r="5" spans="1:30" ht="15">
      <c r="A5" s="1596"/>
      <c r="B5" s="1597"/>
      <c r="C5" s="3600" t="s">
        <v>2012</v>
      </c>
      <c r="D5" s="3601"/>
      <c r="E5" s="3598" t="s">
        <v>2013</v>
      </c>
      <c r="F5" s="3599"/>
      <c r="G5" s="3600" t="s">
        <v>2014</v>
      </c>
      <c r="H5" s="3601"/>
      <c r="I5" s="3600" t="s">
        <v>2015</v>
      </c>
      <c r="J5" s="3601"/>
      <c r="K5" s="1894"/>
      <c r="L5" s="2915"/>
      <c r="M5" s="2916"/>
      <c r="N5" s="2916"/>
      <c r="O5" s="2916"/>
      <c r="P5" s="3593"/>
      <c r="Q5" s="3594"/>
      <c r="R5" s="3577"/>
      <c r="S5" s="3578"/>
      <c r="T5" s="3577"/>
      <c r="U5" s="3578"/>
      <c r="V5" s="3597"/>
      <c r="W5" s="3597"/>
      <c r="X5" s="1594"/>
      <c r="Y5" s="3577"/>
      <c r="Z5" s="3578"/>
      <c r="AA5" s="3585"/>
      <c r="AB5" s="3585"/>
      <c r="AC5" s="3585"/>
    </row>
    <row r="6" spans="1:30" ht="15.75" thickBot="1">
      <c r="A6" s="1599"/>
      <c r="B6" s="1600"/>
      <c r="C6" s="3602" t="s">
        <v>2016</v>
      </c>
      <c r="D6" s="3603"/>
      <c r="E6" s="3604" t="s">
        <v>2016</v>
      </c>
      <c r="F6" s="3605"/>
      <c r="G6" s="3602" t="s">
        <v>2016</v>
      </c>
      <c r="H6" s="3603"/>
      <c r="I6" s="3602" t="s">
        <v>2016</v>
      </c>
      <c r="J6" s="3603"/>
      <c r="K6" s="1894" t="s">
        <v>2017</v>
      </c>
      <c r="L6" s="2915"/>
      <c r="M6" s="2916"/>
      <c r="N6" s="2916"/>
      <c r="O6" s="2916"/>
      <c r="P6" s="3595"/>
      <c r="Q6" s="3596"/>
      <c r="R6" s="3577"/>
      <c r="S6" s="3578"/>
      <c r="T6" s="3579"/>
      <c r="U6" s="3580"/>
      <c r="V6" s="3597"/>
      <c r="W6" s="3597"/>
      <c r="X6" s="1594"/>
      <c r="Y6" s="3579"/>
      <c r="Z6" s="3580"/>
      <c r="AA6" s="3586"/>
      <c r="AB6" s="3586"/>
      <c r="AC6" s="3586"/>
    </row>
    <row r="7" spans="1:30" s="1613" customFormat="1" ht="15.75" thickBot="1">
      <c r="A7" s="1601" t="s">
        <v>2018</v>
      </c>
      <c r="B7" s="1602"/>
      <c r="C7" s="1603">
        <f>'数据-取费表'!B2</f>
        <v>44676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3" t="s">
        <v>2019</v>
      </c>
      <c r="Q7" s="3581"/>
      <c r="R7" s="1609" t="s">
        <v>25</v>
      </c>
      <c r="S7" s="1610">
        <f t="shared" ref="S7:S15" si="0">F7</f>
        <v>0</v>
      </c>
      <c r="T7" s="1609" t="s">
        <v>25</v>
      </c>
      <c r="U7" s="1610">
        <f t="shared" ref="U7:U15" si="1">H7</f>
        <v>0</v>
      </c>
      <c r="V7" s="1609" t="s">
        <v>25</v>
      </c>
      <c r="W7" s="1610">
        <f t="shared" ref="W7:W15" si="2">J7</f>
        <v>0</v>
      </c>
      <c r="X7" s="1611"/>
      <c r="Y7" s="3573" t="s">
        <v>2019</v>
      </c>
      <c r="Z7" s="3574"/>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3" t="s">
        <v>2022</v>
      </c>
      <c r="Q8" s="3574"/>
      <c r="R8" s="1609" t="s">
        <v>25</v>
      </c>
      <c r="S8" s="1610">
        <f t="shared" si="0"/>
        <v>0</v>
      </c>
      <c r="T8" s="1609" t="s">
        <v>25</v>
      </c>
      <c r="U8" s="1610">
        <f t="shared" si="1"/>
        <v>0</v>
      </c>
      <c r="V8" s="1609" t="s">
        <v>25</v>
      </c>
      <c r="W8" s="1610">
        <f t="shared" si="2"/>
        <v>0</v>
      </c>
      <c r="X8" s="1611"/>
      <c r="Y8" s="3573" t="s">
        <v>2022</v>
      </c>
      <c r="Z8" s="3574"/>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5" t="s">
        <v>2025</v>
      </c>
      <c r="Q9" s="1563" t="str">
        <f t="shared" ref="Q9:Q15" si="6">B9</f>
        <v>用途</v>
      </c>
      <c r="R9" s="1609" t="s">
        <v>25</v>
      </c>
      <c r="S9" s="1610">
        <f t="shared" si="0"/>
        <v>100</v>
      </c>
      <c r="T9" s="1609" t="s">
        <v>25</v>
      </c>
      <c r="U9" s="1610">
        <f t="shared" si="1"/>
        <v>100</v>
      </c>
      <c r="V9" s="1609" t="s">
        <v>25</v>
      </c>
      <c r="W9" s="1610">
        <f t="shared" si="2"/>
        <v>100</v>
      </c>
      <c r="X9" s="1611"/>
      <c r="Y9" s="3458"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119</v>
      </c>
      <c r="G10" s="1686"/>
      <c r="H10" s="1626">
        <f>ROUND(100/'数据-取费表'!B14,0)</f>
        <v>119</v>
      </c>
      <c r="I10" s="1686"/>
      <c r="J10" s="1626">
        <f>ROUND(100/'数据-取费表'!B14,0)</f>
        <v>119</v>
      </c>
      <c r="K10" s="1898"/>
      <c r="L10" s="2917"/>
      <c r="M10" s="2918"/>
      <c r="N10" s="2918"/>
      <c r="O10" s="2963"/>
      <c r="P10" s="3565"/>
      <c r="Q10" s="1563" t="str">
        <f t="shared" si="6"/>
        <v>土地使用年限（年）</v>
      </c>
      <c r="R10" s="1609" t="s">
        <v>25</v>
      </c>
      <c r="S10" s="1610">
        <f t="shared" si="0"/>
        <v>119</v>
      </c>
      <c r="T10" s="1609" t="s">
        <v>25</v>
      </c>
      <c r="U10" s="1610">
        <f t="shared" si="1"/>
        <v>119</v>
      </c>
      <c r="V10" s="1609" t="s">
        <v>25</v>
      </c>
      <c r="W10" s="1610">
        <f t="shared" si="2"/>
        <v>119</v>
      </c>
      <c r="X10" s="1611"/>
      <c r="Y10" s="3458"/>
      <c r="Z10" s="1622" t="str">
        <f t="shared" si="7"/>
        <v>土地使用年限（年）</v>
      </c>
      <c r="AA10" s="1612">
        <f t="shared" si="3"/>
        <v>0.84033613445378152</v>
      </c>
      <c r="AB10" s="1612">
        <f t="shared" si="4"/>
        <v>0.84033613445378152</v>
      </c>
      <c r="AC10" s="1612">
        <f t="shared" si="5"/>
        <v>0.84033613445378152</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5"/>
      <c r="Q11" s="1563" t="str">
        <f t="shared" si="6"/>
        <v>容积率</v>
      </c>
      <c r="R11" s="1609" t="s">
        <v>25</v>
      </c>
      <c r="S11" s="1610" t="e">
        <f t="shared" si="0"/>
        <v>#N/A</v>
      </c>
      <c r="T11" s="1609" t="s">
        <v>25</v>
      </c>
      <c r="U11" s="1610" t="e">
        <f t="shared" si="1"/>
        <v>#N/A</v>
      </c>
      <c r="V11" s="1609" t="s">
        <v>25</v>
      </c>
      <c r="W11" s="1610" t="e">
        <f t="shared" si="2"/>
        <v>#N/A</v>
      </c>
      <c r="X11" s="1611"/>
      <c r="Y11" s="3458"/>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5"/>
      <c r="Q12" s="1563" t="str">
        <f t="shared" si="6"/>
        <v>配建</v>
      </c>
      <c r="R12" s="1609" t="s">
        <v>25</v>
      </c>
      <c r="S12" s="1610">
        <f t="shared" si="0"/>
        <v>100</v>
      </c>
      <c r="T12" s="1609" t="s">
        <v>25</v>
      </c>
      <c r="U12" s="1610">
        <f t="shared" si="1"/>
        <v>100</v>
      </c>
      <c r="V12" s="1609" t="s">
        <v>25</v>
      </c>
      <c r="W12" s="1610">
        <f t="shared" si="2"/>
        <v>100</v>
      </c>
      <c r="X12" s="1611"/>
      <c r="Y12" s="345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5"/>
      <c r="Q13" s="1563">
        <f t="shared" si="6"/>
        <v>111</v>
      </c>
      <c r="R13" s="1609" t="s">
        <v>25</v>
      </c>
      <c r="S13" s="1610">
        <f t="shared" si="0"/>
        <v>100</v>
      </c>
      <c r="T13" s="1609" t="s">
        <v>25</v>
      </c>
      <c r="U13" s="1610">
        <f t="shared" si="1"/>
        <v>100</v>
      </c>
      <c r="V13" s="1609" t="s">
        <v>25</v>
      </c>
      <c r="W13" s="1610">
        <f t="shared" si="2"/>
        <v>100</v>
      </c>
      <c r="X13" s="1611"/>
      <c r="Y13" s="345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5"/>
      <c r="Q14" s="1563">
        <f t="shared" si="6"/>
        <v>111</v>
      </c>
      <c r="R14" s="1609" t="s">
        <v>25</v>
      </c>
      <c r="S14" s="1610">
        <f t="shared" si="0"/>
        <v>100</v>
      </c>
      <c r="T14" s="1609" t="s">
        <v>25</v>
      </c>
      <c r="U14" s="1610">
        <f t="shared" si="1"/>
        <v>100</v>
      </c>
      <c r="V14" s="1609" t="s">
        <v>25</v>
      </c>
      <c r="W14" s="1610">
        <f t="shared" si="2"/>
        <v>100</v>
      </c>
      <c r="X14" s="1611"/>
      <c r="Y14" s="3458"/>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2" t="s">
        <v>2030</v>
      </c>
      <c r="Q15" s="1544" t="str">
        <f t="shared" si="6"/>
        <v>居住社区成熟度</v>
      </c>
      <c r="R15" s="1654" t="s">
        <v>25</v>
      </c>
      <c r="S15" s="1655">
        <f t="shared" si="0"/>
        <v>100</v>
      </c>
      <c r="T15" s="1654" t="s">
        <v>25</v>
      </c>
      <c r="U15" s="1655">
        <f t="shared" si="1"/>
        <v>100</v>
      </c>
      <c r="V15" s="1654" t="s">
        <v>25</v>
      </c>
      <c r="W15" s="1655">
        <f t="shared" si="2"/>
        <v>100</v>
      </c>
      <c r="X15" s="1594"/>
      <c r="Y15" s="3582"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3"/>
      <c r="Q16" s="1544"/>
      <c r="R16" s="1654"/>
      <c r="S16" s="1655"/>
      <c r="T16" s="1654"/>
      <c r="U16" s="1655"/>
      <c r="V16" s="1654"/>
      <c r="W16" s="1655"/>
      <c r="X16" s="1594"/>
      <c r="Y16" s="3583"/>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3"/>
      <c r="Q17" s="1544" t="str">
        <f>B17</f>
        <v>商业繁华度</v>
      </c>
      <c r="R17" s="1654" t="s">
        <v>25</v>
      </c>
      <c r="S17" s="1655">
        <f>F17</f>
        <v>100</v>
      </c>
      <c r="T17" s="1654" t="s">
        <v>25</v>
      </c>
      <c r="U17" s="1655">
        <f>H17</f>
        <v>100</v>
      </c>
      <c r="V17" s="1654" t="s">
        <v>25</v>
      </c>
      <c r="W17" s="1655">
        <f>J17</f>
        <v>100</v>
      </c>
      <c r="X17" s="1594"/>
      <c r="Y17" s="358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3"/>
      <c r="Q18" s="1544"/>
      <c r="R18" s="1654"/>
      <c r="S18" s="1655"/>
      <c r="T18" s="1654"/>
      <c r="U18" s="1655"/>
      <c r="V18" s="1654"/>
      <c r="W18" s="1655"/>
      <c r="X18" s="1594"/>
      <c r="Y18" s="3583"/>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3"/>
      <c r="Q19" s="1544" t="str">
        <f>B19</f>
        <v>办公集聚程度</v>
      </c>
      <c r="R19" s="1654" t="s">
        <v>25</v>
      </c>
      <c r="S19" s="1655">
        <f>F19</f>
        <v>100</v>
      </c>
      <c r="T19" s="1654" t="s">
        <v>25</v>
      </c>
      <c r="U19" s="1655">
        <f>H19</f>
        <v>100</v>
      </c>
      <c r="V19" s="1654" t="s">
        <v>25</v>
      </c>
      <c r="W19" s="1655">
        <f>J19</f>
        <v>100</v>
      </c>
      <c r="X19" s="1594"/>
      <c r="Y19" s="358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3"/>
      <c r="Q20" s="1544"/>
      <c r="R20" s="1654"/>
      <c r="S20" s="1655"/>
      <c r="T20" s="1654"/>
      <c r="U20" s="1655"/>
      <c r="V20" s="1654"/>
      <c r="W20" s="1655"/>
      <c r="X20" s="1594"/>
      <c r="Y20" s="3583"/>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3"/>
      <c r="Q21" s="1544" t="str">
        <f>B21</f>
        <v>交通便捷度</v>
      </c>
      <c r="R21" s="1654" t="s">
        <v>25</v>
      </c>
      <c r="S21" s="1655">
        <f>F21</f>
        <v>100</v>
      </c>
      <c r="T21" s="1654" t="s">
        <v>25</v>
      </c>
      <c r="U21" s="1655">
        <f>H21</f>
        <v>100</v>
      </c>
      <c r="V21" s="1654" t="s">
        <v>25</v>
      </c>
      <c r="W21" s="1655">
        <f>J21</f>
        <v>100</v>
      </c>
      <c r="X21" s="1594"/>
      <c r="Y21" s="358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3"/>
      <c r="Q22" s="1544"/>
      <c r="R22" s="1654"/>
      <c r="S22" s="1655"/>
      <c r="T22" s="1654"/>
      <c r="U22" s="1655"/>
      <c r="V22" s="1654"/>
      <c r="W22" s="1655"/>
      <c r="X22" s="1594"/>
      <c r="Y22" s="3583"/>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3"/>
      <c r="Q23" s="1544" t="str">
        <f t="shared" ref="Q23:Q37" si="8">B23</f>
        <v>区域土地利用方向</v>
      </c>
      <c r="R23" s="1654" t="s">
        <v>25</v>
      </c>
      <c r="S23" s="1655">
        <f>F23</f>
        <v>100</v>
      </c>
      <c r="T23" s="1654" t="s">
        <v>25</v>
      </c>
      <c r="U23" s="1655">
        <f>H23</f>
        <v>100</v>
      </c>
      <c r="V23" s="1654" t="s">
        <v>25</v>
      </c>
      <c r="W23" s="1655">
        <f>J23</f>
        <v>100</v>
      </c>
      <c r="X23" s="1594"/>
      <c r="Y23" s="358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3"/>
      <c r="Q24" s="1544"/>
      <c r="R24" s="1654"/>
      <c r="S24" s="1655"/>
      <c r="T24" s="1654"/>
      <c r="U24" s="1655"/>
      <c r="V24" s="1654"/>
      <c r="W24" s="1655"/>
      <c r="X24" s="1594"/>
      <c r="Y24" s="3583"/>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3"/>
      <c r="Q25" s="1544" t="str">
        <f t="shared" si="8"/>
        <v>自然及人文环境状况</v>
      </c>
      <c r="R25" s="1654" t="s">
        <v>25</v>
      </c>
      <c r="S25" s="1655">
        <f>F25</f>
        <v>100</v>
      </c>
      <c r="T25" s="1654" t="s">
        <v>25</v>
      </c>
      <c r="U25" s="1655">
        <f>H25</f>
        <v>100</v>
      </c>
      <c r="V25" s="1654" t="s">
        <v>25</v>
      </c>
      <c r="W25" s="1655">
        <f>J25</f>
        <v>100</v>
      </c>
      <c r="X25" s="1594"/>
      <c r="Y25" s="358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3"/>
      <c r="Q26" s="1544"/>
      <c r="R26" s="1654"/>
      <c r="S26" s="1655"/>
      <c r="T26" s="1654"/>
      <c r="U26" s="1655"/>
      <c r="V26" s="1654"/>
      <c r="W26" s="1655"/>
      <c r="X26" s="1594"/>
      <c r="Y26" s="3583"/>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3"/>
      <c r="Q27" s="1563" t="str">
        <f t="shared" ref="Q27" si="9">B27</f>
        <v>公共配套设施</v>
      </c>
      <c r="R27" s="1609" t="s">
        <v>25</v>
      </c>
      <c r="S27" s="1610">
        <f>F27</f>
        <v>100</v>
      </c>
      <c r="T27" s="1609" t="s">
        <v>25</v>
      </c>
      <c r="U27" s="1610">
        <f>H27</f>
        <v>100</v>
      </c>
      <c r="V27" s="1609" t="s">
        <v>25</v>
      </c>
      <c r="W27" s="1610">
        <f>J27</f>
        <v>100</v>
      </c>
      <c r="X27" s="1594"/>
      <c r="Y27" s="358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3"/>
      <c r="Q28" s="1544"/>
      <c r="R28" s="1654"/>
      <c r="S28" s="1655"/>
      <c r="T28" s="1654"/>
      <c r="U28" s="1655"/>
      <c r="V28" s="1654"/>
      <c r="W28" s="1655"/>
      <c r="X28" s="1594"/>
      <c r="Y28" s="3583"/>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3"/>
      <c r="Q29" s="1563" t="str">
        <f t="shared" si="8"/>
        <v>基础设施水平</v>
      </c>
      <c r="R29" s="1609" t="s">
        <v>25</v>
      </c>
      <c r="S29" s="1610">
        <f>F29</f>
        <v>100</v>
      </c>
      <c r="T29" s="1609" t="s">
        <v>25</v>
      </c>
      <c r="U29" s="1610">
        <f>H29</f>
        <v>100</v>
      </c>
      <c r="V29" s="1609" t="s">
        <v>25</v>
      </c>
      <c r="W29" s="1610">
        <f>J29</f>
        <v>100</v>
      </c>
      <c r="X29" s="1611"/>
      <c r="Y29" s="358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3"/>
      <c r="Q30" s="1563"/>
      <c r="R30" s="1609"/>
      <c r="S30" s="1610"/>
      <c r="T30" s="1609"/>
      <c r="U30" s="1610"/>
      <c r="V30" s="1609"/>
      <c r="W30" s="1610"/>
      <c r="X30" s="1611"/>
      <c r="Y30" s="3583"/>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3"/>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3"/>
      <c r="Q32" s="1544" t="str">
        <f t="shared" si="8"/>
        <v>毗邻道路的类型与等级</v>
      </c>
      <c r="R32" s="1654" t="s">
        <v>25</v>
      </c>
      <c r="S32" s="1655">
        <f t="shared" si="10"/>
        <v>100</v>
      </c>
      <c r="T32" s="1654" t="s">
        <v>25</v>
      </c>
      <c r="U32" s="1655">
        <f t="shared" si="11"/>
        <v>100</v>
      </c>
      <c r="V32" s="1654" t="s">
        <v>25</v>
      </c>
      <c r="W32" s="1655">
        <f t="shared" si="12"/>
        <v>100</v>
      </c>
      <c r="X32" s="1594"/>
      <c r="Y32" s="358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3"/>
      <c r="Q33" s="1544"/>
      <c r="R33" s="1654"/>
      <c r="S33" s="1655"/>
      <c r="T33" s="1654"/>
      <c r="U33" s="1655"/>
      <c r="V33" s="1654"/>
      <c r="W33" s="1655"/>
      <c r="X33" s="1594"/>
      <c r="Y33" s="3583"/>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3"/>
      <c r="Q34" s="1544" t="str">
        <f t="shared" si="8"/>
        <v>土地级别</v>
      </c>
      <c r="R34" s="1654" t="s">
        <v>25</v>
      </c>
      <c r="S34" s="1655">
        <f t="shared" si="10"/>
        <v>100</v>
      </c>
      <c r="T34" s="1654" t="s">
        <v>25</v>
      </c>
      <c r="U34" s="1655">
        <f t="shared" si="11"/>
        <v>100</v>
      </c>
      <c r="V34" s="1654" t="s">
        <v>25</v>
      </c>
      <c r="W34" s="1655">
        <f t="shared" si="12"/>
        <v>100</v>
      </c>
      <c r="X34" s="1594"/>
      <c r="Y34" s="358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3"/>
      <c r="Q35" s="1544">
        <f t="shared" si="8"/>
        <v>111</v>
      </c>
      <c r="R35" s="1654" t="s">
        <v>25</v>
      </c>
      <c r="S35" s="1655">
        <f t="shared" si="10"/>
        <v>100</v>
      </c>
      <c r="T35" s="1654" t="s">
        <v>25</v>
      </c>
      <c r="U35" s="1655">
        <f t="shared" si="11"/>
        <v>100</v>
      </c>
      <c r="V35" s="1654" t="s">
        <v>25</v>
      </c>
      <c r="W35" s="1655">
        <f t="shared" si="12"/>
        <v>100</v>
      </c>
      <c r="X35" s="1594"/>
      <c r="Y35" s="358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70" t="s">
        <v>2036</v>
      </c>
      <c r="Q36" s="1544">
        <f t="shared" si="8"/>
        <v>111</v>
      </c>
      <c r="R36" s="1654" t="s">
        <v>25</v>
      </c>
      <c r="S36" s="1655">
        <f t="shared" si="10"/>
        <v>100</v>
      </c>
      <c r="T36" s="1654" t="s">
        <v>25</v>
      </c>
      <c r="U36" s="1655">
        <f t="shared" si="11"/>
        <v>100</v>
      </c>
      <c r="V36" s="1654" t="s">
        <v>25</v>
      </c>
      <c r="W36" s="1655">
        <f t="shared" si="12"/>
        <v>100</v>
      </c>
      <c r="X36" s="1594"/>
      <c r="Y36" s="3571"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1"/>
      <c r="Q37" s="1544">
        <f t="shared" si="8"/>
        <v>111</v>
      </c>
      <c r="R37" s="1696" t="s">
        <v>25</v>
      </c>
      <c r="S37" s="1697">
        <f t="shared" si="10"/>
        <v>100</v>
      </c>
      <c r="T37" s="1696" t="s">
        <v>25</v>
      </c>
      <c r="U37" s="1697">
        <f t="shared" si="11"/>
        <v>100</v>
      </c>
      <c r="V37" s="1696" t="s">
        <v>25</v>
      </c>
      <c r="W37" s="1697">
        <f t="shared" si="12"/>
        <v>100</v>
      </c>
      <c r="X37" s="1698"/>
      <c r="Y37" s="3571"/>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1"/>
      <c r="Q38" s="1544" t="str">
        <f>B38</f>
        <v>宗地面积</v>
      </c>
      <c r="R38" s="1654" t="s">
        <v>25</v>
      </c>
      <c r="S38" s="1655" t="e">
        <f t="shared" si="10"/>
        <v>#N/A</v>
      </c>
      <c r="T38" s="1654" t="s">
        <v>25</v>
      </c>
      <c r="U38" s="1655" t="e">
        <f t="shared" si="11"/>
        <v>#N/A</v>
      </c>
      <c r="V38" s="1654" t="s">
        <v>25</v>
      </c>
      <c r="W38" s="1655" t="e">
        <f t="shared" si="12"/>
        <v>#N/A</v>
      </c>
      <c r="X38" s="1594"/>
      <c r="Y38" s="3571"/>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1"/>
      <c r="Q39" s="1544" t="str">
        <f t="shared" ref="Q39:Q45" si="14">B39</f>
        <v>宗地形状</v>
      </c>
      <c r="R39" s="1654" t="s">
        <v>25</v>
      </c>
      <c r="S39" s="1655">
        <f t="shared" si="10"/>
        <v>100</v>
      </c>
      <c r="T39" s="1654" t="s">
        <v>25</v>
      </c>
      <c r="U39" s="1655">
        <f t="shared" si="11"/>
        <v>100</v>
      </c>
      <c r="V39" s="1654" t="s">
        <v>25</v>
      </c>
      <c r="W39" s="1655">
        <f t="shared" si="12"/>
        <v>100</v>
      </c>
      <c r="X39" s="1594"/>
      <c r="Y39" s="3571"/>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1"/>
      <c r="Q40" s="1544" t="str">
        <f t="shared" si="14"/>
        <v>临街宽度及深度</v>
      </c>
      <c r="R40" s="1654" t="s">
        <v>25</v>
      </c>
      <c r="S40" s="1655">
        <f t="shared" si="10"/>
        <v>100</v>
      </c>
      <c r="T40" s="1654" t="s">
        <v>25</v>
      </c>
      <c r="U40" s="1655">
        <f t="shared" si="11"/>
        <v>100</v>
      </c>
      <c r="V40" s="1654" t="s">
        <v>25</v>
      </c>
      <c r="W40" s="1655">
        <f t="shared" si="12"/>
        <v>100</v>
      </c>
      <c r="X40" s="1594"/>
      <c r="Y40" s="3571"/>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1"/>
      <c r="Q41" s="1544" t="str">
        <f t="shared" si="14"/>
        <v>宗地开发程度</v>
      </c>
      <c r="R41" s="1609" t="s">
        <v>25</v>
      </c>
      <c r="S41" s="1610">
        <f t="shared" si="10"/>
        <v>100</v>
      </c>
      <c r="T41" s="1609" t="s">
        <v>25</v>
      </c>
      <c r="U41" s="1610">
        <f t="shared" si="11"/>
        <v>100</v>
      </c>
      <c r="V41" s="1609" t="s">
        <v>25</v>
      </c>
      <c r="W41" s="1610">
        <f t="shared" si="12"/>
        <v>100</v>
      </c>
      <c r="X41" s="1611"/>
      <c r="Y41" s="3571"/>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1" t="s">
        <v>2036</v>
      </c>
      <c r="Q42" s="1544" t="str">
        <f t="shared" si="14"/>
        <v>工程地质条件</v>
      </c>
      <c r="R42" s="1654" t="s">
        <v>25</v>
      </c>
      <c r="S42" s="1655">
        <f t="shared" si="10"/>
        <v>100</v>
      </c>
      <c r="T42" s="1654" t="s">
        <v>25</v>
      </c>
      <c r="U42" s="1655">
        <f t="shared" si="11"/>
        <v>100</v>
      </c>
      <c r="V42" s="1654" t="s">
        <v>25</v>
      </c>
      <c r="W42" s="1655">
        <f t="shared" si="12"/>
        <v>100</v>
      </c>
      <c r="X42" s="1594"/>
      <c r="Y42" s="3571"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1"/>
      <c r="Q43" s="1544">
        <f t="shared" si="14"/>
        <v>111</v>
      </c>
      <c r="R43" s="1654" t="s">
        <v>25</v>
      </c>
      <c r="S43" s="1655">
        <f t="shared" si="10"/>
        <v>100</v>
      </c>
      <c r="T43" s="1654" t="s">
        <v>25</v>
      </c>
      <c r="U43" s="1655">
        <f t="shared" si="11"/>
        <v>100</v>
      </c>
      <c r="V43" s="1654" t="s">
        <v>25</v>
      </c>
      <c r="W43" s="1655">
        <f t="shared" si="12"/>
        <v>100</v>
      </c>
      <c r="X43" s="1594"/>
      <c r="Y43" s="3571"/>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1"/>
      <c r="Q44" s="1544">
        <f t="shared" si="14"/>
        <v>111</v>
      </c>
      <c r="R44" s="1654" t="s">
        <v>25</v>
      </c>
      <c r="S44" s="1655">
        <f t="shared" si="10"/>
        <v>100</v>
      </c>
      <c r="T44" s="1654" t="s">
        <v>25</v>
      </c>
      <c r="U44" s="1655">
        <f t="shared" si="11"/>
        <v>100</v>
      </c>
      <c r="V44" s="1654" t="s">
        <v>25</v>
      </c>
      <c r="W44" s="1655">
        <f t="shared" si="12"/>
        <v>100</v>
      </c>
      <c r="X44" s="1594"/>
      <c r="Y44" s="3571"/>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1"/>
      <c r="Q45" s="1544">
        <f t="shared" si="14"/>
        <v>111</v>
      </c>
      <c r="R45" s="1696" t="s">
        <v>25</v>
      </c>
      <c r="S45" s="1697">
        <f t="shared" si="10"/>
        <v>100</v>
      </c>
      <c r="T45" s="1696" t="s">
        <v>25</v>
      </c>
      <c r="U45" s="1697">
        <f t="shared" si="11"/>
        <v>100</v>
      </c>
      <c r="V45" s="1696" t="s">
        <v>25</v>
      </c>
      <c r="W45" s="1697">
        <f t="shared" si="12"/>
        <v>100</v>
      </c>
      <c r="X45" s="1698"/>
      <c r="Y45" s="3571"/>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565" t="str">
        <f>A46</f>
        <v>成交单价</v>
      </c>
      <c r="Q46" s="3565"/>
      <c r="R46" s="3597">
        <f>E46</f>
        <v>0</v>
      </c>
      <c r="S46" s="3597"/>
      <c r="T46" s="3597">
        <f>G46</f>
        <v>0</v>
      </c>
      <c r="U46" s="3597"/>
      <c r="V46" s="3597">
        <f>I46</f>
        <v>0</v>
      </c>
      <c r="W46" s="3597"/>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565" t="str">
        <f>A47</f>
        <v>比较价值（元/平方米）</v>
      </c>
      <c r="Q47" s="3565"/>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567" t="str">
        <f>A48</f>
        <v>估价对象XX用房的比较价值（楼面单价，元/平方米）</v>
      </c>
      <c r="Q48" s="3568"/>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2022-4-1</v>
      </c>
      <c r="D67" s="1969">
        <f>EDATE(C67,-3)</f>
        <v>44562</v>
      </c>
      <c r="E67" s="1969">
        <f t="shared" ref="E67:O67" si="18">EDATE(D67,-3)</f>
        <v>44470</v>
      </c>
      <c r="F67" s="1969">
        <f t="shared" si="18"/>
        <v>44378</v>
      </c>
      <c r="G67" s="1969">
        <f t="shared" si="18"/>
        <v>44287</v>
      </c>
      <c r="H67" s="1969">
        <f t="shared" si="18"/>
        <v>44197</v>
      </c>
      <c r="I67" s="1969">
        <f t="shared" si="18"/>
        <v>44105</v>
      </c>
      <c r="J67" s="1969">
        <f t="shared" si="18"/>
        <v>44013</v>
      </c>
      <c r="K67" s="1969">
        <f t="shared" si="18"/>
        <v>43922</v>
      </c>
      <c r="L67" s="1969">
        <f t="shared" si="18"/>
        <v>43831</v>
      </c>
      <c r="M67" s="1969">
        <f t="shared" si="18"/>
        <v>43739</v>
      </c>
      <c r="N67" s="1969">
        <f t="shared" si="18"/>
        <v>43647</v>
      </c>
      <c r="O67" s="1969">
        <f t="shared" si="18"/>
        <v>43556</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2235</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2024</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2027</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2005</v>
      </c>
      <c r="B4" s="295"/>
      <c r="C4" s="3664" t="s">
        <v>2006</v>
      </c>
      <c r="D4" s="3665"/>
      <c r="E4" s="3666" t="s">
        <v>2007</v>
      </c>
      <c r="F4" s="3667"/>
      <c r="G4" s="3664" t="s">
        <v>2008</v>
      </c>
      <c r="H4" s="3665"/>
      <c r="I4" s="3664" t="s">
        <v>2009</v>
      </c>
      <c r="J4" s="3665"/>
      <c r="K4" s="496" t="s">
        <v>2010</v>
      </c>
      <c r="L4" s="2943"/>
      <c r="M4" s="2944"/>
      <c r="N4" s="2944"/>
      <c r="O4" s="2944"/>
      <c r="P4" s="3668" t="s">
        <v>2011</v>
      </c>
      <c r="Q4" s="3669"/>
      <c r="R4" s="3651" t="s">
        <v>2007</v>
      </c>
      <c r="S4" s="3652"/>
      <c r="T4" s="3651" t="s">
        <v>2008</v>
      </c>
      <c r="U4" s="3652"/>
      <c r="V4" s="3674" t="s">
        <v>2009</v>
      </c>
      <c r="W4" s="3674"/>
      <c r="X4" s="1263"/>
      <c r="Y4" s="3651" t="s">
        <v>2011</v>
      </c>
      <c r="Z4" s="3652"/>
      <c r="AA4" s="3661" t="s">
        <v>2007</v>
      </c>
      <c r="AB4" s="3662" t="s">
        <v>2008</v>
      </c>
      <c r="AC4" s="3661" t="s">
        <v>2009</v>
      </c>
    </row>
    <row r="5" spans="1:29" ht="15">
      <c r="A5" s="297"/>
      <c r="B5" s="298"/>
      <c r="C5" s="3677" t="s">
        <v>2012</v>
      </c>
      <c r="D5" s="3678"/>
      <c r="E5" s="3675" t="s">
        <v>2013</v>
      </c>
      <c r="F5" s="3676"/>
      <c r="G5" s="3677" t="s">
        <v>2014</v>
      </c>
      <c r="H5" s="3678"/>
      <c r="I5" s="3677" t="s">
        <v>2015</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2016</v>
      </c>
      <c r="D6" s="3680"/>
      <c r="E6" s="3681" t="s">
        <v>2016</v>
      </c>
      <c r="F6" s="3682"/>
      <c r="G6" s="3679" t="s">
        <v>2016</v>
      </c>
      <c r="H6" s="3680"/>
      <c r="I6" s="3679" t="s">
        <v>2016</v>
      </c>
      <c r="J6" s="3680"/>
      <c r="K6" s="496" t="s">
        <v>2017</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2018</v>
      </c>
      <c r="B7" s="302"/>
      <c r="C7" s="303">
        <f>'数据-取费表'!B2</f>
        <v>44676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9" t="s">
        <v>2019</v>
      </c>
      <c r="Q7" s="3657"/>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1" t="s">
        <v>2025</v>
      </c>
      <c r="Q9" s="1255" t="str">
        <f t="shared" ref="Q9:Q15" si="6">B9</f>
        <v>用途</v>
      </c>
      <c r="R9" s="627" t="s">
        <v>25</v>
      </c>
      <c r="S9" s="628">
        <f t="shared" si="0"/>
        <v>100</v>
      </c>
      <c r="T9" s="627" t="s">
        <v>25</v>
      </c>
      <c r="U9" s="628">
        <f t="shared" si="1"/>
        <v>100</v>
      </c>
      <c r="V9" s="627" t="s">
        <v>25</v>
      </c>
      <c r="W9" s="628">
        <f t="shared" si="2"/>
        <v>100</v>
      </c>
      <c r="X9" s="629"/>
      <c r="Y9" s="3660"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119</v>
      </c>
      <c r="G10" s="322"/>
      <c r="H10" s="29">
        <f>ROUND(100/'数据-取费表'!B14,0)</f>
        <v>119</v>
      </c>
      <c r="I10" s="322"/>
      <c r="J10" s="29">
        <f>ROUND(100/'数据-取费表'!B14,0)</f>
        <v>119</v>
      </c>
      <c r="K10" s="553"/>
      <c r="L10" s="2948"/>
      <c r="M10" s="2949"/>
      <c r="N10" s="2949"/>
      <c r="O10" s="2950"/>
      <c r="P10" s="3641"/>
      <c r="Q10" s="1255" t="str">
        <f t="shared" si="6"/>
        <v>土地使用年限（年）</v>
      </c>
      <c r="R10" s="627" t="s">
        <v>25</v>
      </c>
      <c r="S10" s="628">
        <f t="shared" si="0"/>
        <v>119</v>
      </c>
      <c r="T10" s="627" t="s">
        <v>25</v>
      </c>
      <c r="U10" s="628">
        <f t="shared" si="1"/>
        <v>119</v>
      </c>
      <c r="V10" s="627" t="s">
        <v>25</v>
      </c>
      <c r="W10" s="628">
        <f t="shared" si="2"/>
        <v>119</v>
      </c>
      <c r="X10" s="629"/>
      <c r="Y10" s="3660"/>
      <c r="Z10" s="19" t="str">
        <f t="shared" si="7"/>
        <v>土地使用年限（年）</v>
      </c>
      <c r="AA10" s="630">
        <f t="shared" si="3"/>
        <v>0.84033613445378152</v>
      </c>
      <c r="AB10" s="630">
        <f t="shared" si="4"/>
        <v>0.84033613445378152</v>
      </c>
      <c r="AC10" s="630">
        <f t="shared" si="5"/>
        <v>0.84033613445378152</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8" t="s">
        <v>2030</v>
      </c>
      <c r="Q15" s="1262" t="str">
        <f t="shared" si="6"/>
        <v>产业集聚程度</v>
      </c>
      <c r="R15" s="631" t="s">
        <v>25</v>
      </c>
      <c r="S15" s="632">
        <f t="shared" si="0"/>
        <v>100</v>
      </c>
      <c r="T15" s="631" t="s">
        <v>25</v>
      </c>
      <c r="U15" s="632">
        <f t="shared" si="1"/>
        <v>100</v>
      </c>
      <c r="V15" s="631" t="s">
        <v>25</v>
      </c>
      <c r="W15" s="632">
        <f t="shared" si="2"/>
        <v>100</v>
      </c>
      <c r="X15" s="1263"/>
      <c r="Y15" s="3658"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9"/>
      <c r="Q18" s="1262"/>
      <c r="R18" s="631"/>
      <c r="S18" s="632"/>
      <c r="T18" s="631"/>
      <c r="U18" s="632"/>
      <c r="V18" s="631"/>
      <c r="W18" s="632"/>
      <c r="X18" s="1263"/>
      <c r="Y18" s="3659"/>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9"/>
      <c r="Q20" s="1262"/>
      <c r="R20" s="631"/>
      <c r="S20" s="632"/>
      <c r="T20" s="631"/>
      <c r="U20" s="632"/>
      <c r="V20" s="631"/>
      <c r="W20" s="632"/>
      <c r="X20" s="1263"/>
      <c r="Y20" s="3659"/>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9"/>
      <c r="Q22" s="1262"/>
      <c r="R22" s="631"/>
      <c r="S22" s="632"/>
      <c r="T22" s="631"/>
      <c r="U22" s="632"/>
      <c r="V22" s="631"/>
      <c r="W22" s="632"/>
      <c r="X22" s="1263"/>
      <c r="Y22" s="3659"/>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9"/>
      <c r="Q24" s="1255"/>
      <c r="R24" s="627"/>
      <c r="S24" s="628"/>
      <c r="T24" s="627"/>
      <c r="U24" s="628"/>
      <c r="V24" s="627"/>
      <c r="W24" s="628"/>
      <c r="X24" s="629"/>
      <c r="Y24" s="3659"/>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9"/>
      <c r="Q26" s="1255"/>
      <c r="R26" s="627"/>
      <c r="S26" s="628"/>
      <c r="T26" s="627"/>
      <c r="U26" s="628"/>
      <c r="V26" s="627"/>
      <c r="W26" s="628"/>
      <c r="X26" s="629"/>
      <c r="Y26" s="3659"/>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9"/>
      <c r="Q29" s="1262"/>
      <c r="R29" s="631"/>
      <c r="S29" s="632"/>
      <c r="T29" s="631"/>
      <c r="U29" s="632"/>
      <c r="V29" s="631"/>
      <c r="W29" s="632"/>
      <c r="X29" s="1263"/>
      <c r="Y29" s="3659"/>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6" t="s">
        <v>2036</v>
      </c>
      <c r="Q32" s="1262">
        <f t="shared" si="8"/>
        <v>111</v>
      </c>
      <c r="R32" s="631" t="s">
        <v>25</v>
      </c>
      <c r="S32" s="632">
        <f t="shared" si="10"/>
        <v>100</v>
      </c>
      <c r="T32" s="631" t="s">
        <v>25</v>
      </c>
      <c r="U32" s="632">
        <f t="shared" si="11"/>
        <v>100</v>
      </c>
      <c r="V32" s="631" t="s">
        <v>25</v>
      </c>
      <c r="W32" s="632">
        <f t="shared" si="12"/>
        <v>100</v>
      </c>
      <c r="X32" s="1263"/>
      <c r="Y32" s="3647"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1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7" t="s">
        <v>2036</v>
      </c>
      <c r="Q37" s="1262" t="str">
        <f t="shared" si="14"/>
        <v>工程地质条件</v>
      </c>
      <c r="R37" s="631" t="s">
        <v>25</v>
      </c>
      <c r="S37" s="632">
        <f t="shared" si="10"/>
        <v>100</v>
      </c>
      <c r="T37" s="631" t="s">
        <v>25</v>
      </c>
      <c r="U37" s="632">
        <f t="shared" si="11"/>
        <v>100</v>
      </c>
      <c r="V37" s="631" t="s">
        <v>25</v>
      </c>
      <c r="W37" s="632">
        <f t="shared" si="12"/>
        <v>100</v>
      </c>
      <c r="X37" s="1263"/>
      <c r="Y37" s="3647"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2254</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估价对象为北京市房地产，为XX所有。根据《》[]，估价对象建筑面积为176.29平方米。根据《》[]，估价对象（分摊）出让国有建设用地使用权面积为43.2平方米。估价对象用途为。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2022年4月25日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176.29</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f>ROUND(IF(G3&gt;1,IF(R2&lt;7,SUMPRODUCT((B93:B98=R2)*(C92:N92=G2)*(C93:N98)),SUMIF(C92:N92,G2,C100:N100)),IF(R2&lt;7,SUMPRODUCT((B102:B107=R2)*(C92:N92=G2)*(C102:N107)),SUMIF(C92:N92,G2,C109:N109))),4)</f>
        <v>0</v>
      </c>
      <c r="T2" s="2032">
        <f>ROUND($C$5*$C$18*$C$19*$C$20*S2*$C$24,0)</f>
        <v>0</v>
      </c>
      <c r="U2" s="2043"/>
      <c r="V2" s="2032">
        <f t="shared" ref="V2:V8" si="0">ROUND(T2*U2,0)</f>
        <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4.08</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f>ROUND(IF(G3&gt;1,IF(R3&lt;7,SUMPRODUCT((B93:B98=R3)*(C92:N92=G2)*(C93:N98)),SUMIF(C92:N92,G2,C100:N100)),IF(R3&lt;7,SUMPRODUCT((B102:B107=R3)*(C92:N92=G2)*(C102:N107)),SUMIF(C92:N92,G2,C109:N109))),4)</f>
        <v>0</v>
      </c>
      <c r="T3" s="2032">
        <f t="shared" ref="T3:T16" si="1">ROUND($C$5*$C$18*$C$19*$C$20*S3*$C$24,0)</f>
        <v>0</v>
      </c>
      <c r="U3" s="2043"/>
      <c r="V3" s="2032">
        <f t="shared" si="0"/>
        <v>0</v>
      </c>
      <c r="W3" s="2033"/>
      <c r="X3" s="2033"/>
      <c r="Y3" s="2033"/>
      <c r="Z3" s="2033"/>
      <c r="AA3" s="2033"/>
      <c r="AB3" s="2033"/>
      <c r="AC3" s="2033"/>
      <c r="AD3" s="2034"/>
      <c r="AE3" s="2034"/>
      <c r="AF3" s="2034"/>
      <c r="AG3" s="2034"/>
      <c r="AH3" s="2034"/>
      <c r="AI3" s="2034"/>
      <c r="AJ3" s="2035"/>
    </row>
    <row r="4" spans="1:36" ht="15.75">
      <c r="A4" s="3689"/>
      <c r="B4" s="3690"/>
      <c r="C4" s="3690"/>
      <c r="D4" s="3691"/>
      <c r="E4" s="3691"/>
      <c r="F4" s="3691"/>
      <c r="G4" s="3691"/>
      <c r="H4" s="3691"/>
      <c r="I4" s="3691"/>
      <c r="J4" s="3692"/>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f>ROUND(IF(G3&gt;1,IF(R4&lt;7,SUMPRODUCT((B93:B98=R4)*(C92:N92=G2)*(C93:N98)),SUMIF(C92:N92,G2,C100:N100)),IF(R4&lt;7,SUMPRODUCT((B102:B107=R4)*(C92:N92=G2)*(C102:N107)),SUMIF(C92:N92,G2,C109:N109))),4)</f>
        <v>0</v>
      </c>
      <c r="T4" s="2032">
        <f t="shared" si="1"/>
        <v>0</v>
      </c>
      <c r="U4" s="2043"/>
      <c r="V4" s="2032">
        <f t="shared" si="0"/>
        <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f>ROUND(IF(G3&gt;1,IF(R5&lt;7,SUMPRODUCT((B93:B98=R5)*(C92:N92=G2)*(C93:N98)),SUMIF(C92:N92,G2,C100:N100)),IF(R5&lt;7,SUMPRODUCT((B102:B107=R5)*(C92:N92=G2)*(C102:N107)),SUMIF(C92:N92,G2,C109:N109))),4)</f>
        <v>0</v>
      </c>
      <c r="T5" s="2032">
        <f t="shared" si="1"/>
        <v>0</v>
      </c>
      <c r="U5" s="2043"/>
      <c r="V5" s="2032">
        <f t="shared" si="0"/>
        <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f>ROUND(IF(G3&gt;1,IF(R6&lt;7,SUMPRODUCT((B93:B98=R6)*(C92:N92=G2)*(C93:N98)),SUMIF(C92:N92,G2,C100:N100)),IF(R6&lt;7,SUMPRODUCT((B102:B107=R6)*(C92:N92=G2)*(C102:N107)),SUMIF(C92:N92,G2,C109:N109))),4)</f>
        <v>0</v>
      </c>
      <c r="T6" s="2032">
        <f t="shared" si="1"/>
        <v>0</v>
      </c>
      <c r="U6" s="2043"/>
      <c r="V6" s="2032">
        <f t="shared" si="0"/>
        <v>0</v>
      </c>
      <c r="W6" s="2033"/>
      <c r="X6" s="2033"/>
      <c r="Y6" s="2033"/>
      <c r="Z6" s="2033"/>
      <c r="AA6" s="2033"/>
      <c r="AB6" s="2033"/>
      <c r="AC6" s="2050"/>
      <c r="AD6" s="2051"/>
      <c r="AE6" s="2051"/>
      <c r="AF6" s="2051"/>
      <c r="AG6" s="2051"/>
      <c r="AH6" s="2051"/>
      <c r="AI6" s="2051"/>
      <c r="AJ6" s="2052"/>
    </row>
    <row r="7" spans="1:36" ht="24">
      <c r="A7" s="3693"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f>ROUND(IF(G3&gt;1,IF(R7&lt;7,SUMPRODUCT((B93:B98=R7)*(C92:N92=G2)*(C93:N98)),SUMIF(C92:N92,G2,C100:N100)),IF(R7&lt;7,SUMPRODUCT((B102:B107=R7)*(C92:N92=G2)*(C102:N107)),SUMIF(C92:N92,G2,C109:N109))),4)</f>
        <v>0</v>
      </c>
      <c r="T7" s="2032">
        <f t="shared" si="1"/>
        <v>0</v>
      </c>
      <c r="U7" s="2043"/>
      <c r="V7" s="2032">
        <f t="shared" si="0"/>
        <v>0</v>
      </c>
      <c r="W7" s="2064" t="s">
        <v>2286</v>
      </c>
      <c r="X7" s="2065">
        <f>G2</f>
        <v>0</v>
      </c>
      <c r="Y7" s="2065" t="s">
        <v>2287</v>
      </c>
      <c r="Z7" s="2066">
        <f>G3</f>
        <v>4.08</v>
      </c>
      <c r="AA7" s="2033"/>
      <c r="AB7" s="2033"/>
      <c r="AC7" s="2033"/>
      <c r="AD7" s="2034"/>
      <c r="AE7" s="2034"/>
      <c r="AF7" s="2034"/>
      <c r="AG7" s="2034"/>
      <c r="AH7" s="2034"/>
      <c r="AI7" s="2034"/>
      <c r="AJ7" s="2035"/>
    </row>
    <row r="8" spans="1:36" ht="15">
      <c r="A8" s="3694"/>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7" t="s">
        <v>2291</v>
      </c>
      <c r="X8" s="3688"/>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694"/>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8"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4"/>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4"/>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8" t="s">
        <v>2315</v>
      </c>
      <c r="X11" s="2081" t="s">
        <v>2316</v>
      </c>
      <c r="Y11" s="2082">
        <f>$G$3</f>
        <v>4.08</v>
      </c>
      <c r="Z11" s="2082">
        <f t="shared" ref="Z11:AJ11" si="4">$G$3</f>
        <v>4.08</v>
      </c>
      <c r="AA11" s="2082">
        <f t="shared" si="4"/>
        <v>4.08</v>
      </c>
      <c r="AB11" s="2082">
        <f t="shared" si="4"/>
        <v>4.08</v>
      </c>
      <c r="AC11" s="2082">
        <f t="shared" si="4"/>
        <v>4.08</v>
      </c>
      <c r="AD11" s="2082">
        <f t="shared" si="4"/>
        <v>4.08</v>
      </c>
      <c r="AE11" s="2082">
        <f t="shared" si="4"/>
        <v>4.08</v>
      </c>
      <c r="AF11" s="2082">
        <f t="shared" si="4"/>
        <v>4.08</v>
      </c>
      <c r="AG11" s="2082">
        <f t="shared" si="4"/>
        <v>4.08</v>
      </c>
      <c r="AH11" s="2082">
        <f t="shared" si="4"/>
        <v>4.08</v>
      </c>
      <c r="AI11" s="2082">
        <f t="shared" si="4"/>
        <v>4.08</v>
      </c>
      <c r="AJ11" s="2082">
        <f t="shared" si="4"/>
        <v>4.08</v>
      </c>
    </row>
    <row r="12" spans="1:36" ht="25.5" thickBot="1">
      <c r="A12" s="3693">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8"/>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5"/>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88"/>
      <c r="X13" s="2089"/>
      <c r="Y13" s="2077">
        <f>(-0.163*(Y12^2)-0.59*Y12+7617)*(10^(-4))/Y11</f>
        <v>0.18669117647058825</v>
      </c>
      <c r="Z13" s="2077">
        <f t="shared" ref="Z13:AJ13" si="6">(-0.163*(Z12^2)-0.59*Z12+7617)*(10^(-4))/Z11</f>
        <v>0.18669117647058825</v>
      </c>
      <c r="AA13" s="2077">
        <f t="shared" si="6"/>
        <v>0.18669117647058825</v>
      </c>
      <c r="AB13" s="2077">
        <f t="shared" si="6"/>
        <v>0.18669117647058825</v>
      </c>
      <c r="AC13" s="2077">
        <f t="shared" si="6"/>
        <v>0.18669117647058825</v>
      </c>
      <c r="AD13" s="2077">
        <f t="shared" si="6"/>
        <v>0.18669117647058825</v>
      </c>
      <c r="AE13" s="2077">
        <f t="shared" si="6"/>
        <v>0.18669117647058825</v>
      </c>
      <c r="AF13" s="2077">
        <f t="shared" si="6"/>
        <v>0.18669117647058825</v>
      </c>
      <c r="AG13" s="2077">
        <f t="shared" si="6"/>
        <v>0.18669117647058825</v>
      </c>
      <c r="AH13" s="2077">
        <f t="shared" si="6"/>
        <v>0.18669117647058825</v>
      </c>
      <c r="AI13" s="2077">
        <f t="shared" si="6"/>
        <v>0.18669117647058825</v>
      </c>
      <c r="AJ13" s="2077">
        <f t="shared" si="6"/>
        <v>0.18669117647058825</v>
      </c>
    </row>
    <row r="14" spans="1:36" ht="15">
      <c r="A14" s="3695"/>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6"/>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7">
        <f>IF(E2="办公",2,IF(E2="工业",2,IF(E2="住宅",3,IF(E2="商业",IF(C8="不临58条商业街",2,3)))))</f>
        <v>3</v>
      </c>
      <c r="B16" s="1559" t="s">
        <v>2337</v>
      </c>
      <c r="C16" s="1535">
        <f>ROUND(IF(F17="与级别开发程度一致",0,(G17-E17)/C17),0)</f>
        <v>0</v>
      </c>
      <c r="D16" s="3710" t="s">
        <v>2341</v>
      </c>
      <c r="E16" s="3711"/>
      <c r="F16" s="3710" t="s">
        <v>2338</v>
      </c>
      <c r="G16" s="371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8"/>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1.7434000000000001</v>
      </c>
      <c r="D19" s="2118" t="s">
        <v>2347</v>
      </c>
      <c r="E19" s="2119">
        <v>41640</v>
      </c>
      <c r="F19" s="2118" t="s">
        <v>2348</v>
      </c>
      <c r="G19" s="2120">
        <f>'数据-取费表'!B2</f>
        <v>44676</v>
      </c>
      <c r="H19" s="2121" t="s">
        <v>2483</v>
      </c>
      <c r="I19" s="2122" t="str">
        <f>IF(H19="季度增幅（自定义）",SUMIF(N21:N24,E2,O21:O24),"")</f>
        <v/>
      </c>
      <c r="J19" s="2123"/>
      <c r="K19" s="2970"/>
      <c r="L19" s="2004" t="s">
        <v>2349</v>
      </c>
      <c r="M19" s="2124">
        <f>ROUND(SUMIF(地价!B2:F2,E2,地价!B41:F41),0)</f>
        <v>423</v>
      </c>
      <c r="N19" s="2125" t="s">
        <v>2350</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0.79469999999999996</v>
      </c>
      <c r="D20" s="2130" t="s">
        <v>2353</v>
      </c>
      <c r="E20" s="3072">
        <f>存贷款利率!E20/100</f>
        <v>4.3499999999999997E-2</v>
      </c>
      <c r="F20" s="2130" t="s">
        <v>2342</v>
      </c>
      <c r="G20" s="3073">
        <f>SUMIF(M26:P26,E2,M28:P28)</f>
        <v>0.05</v>
      </c>
      <c r="H20" s="2130" t="s">
        <v>2354</v>
      </c>
      <c r="I20" s="2131">
        <f>'数据-取费表'!B13</f>
        <v>30</v>
      </c>
      <c r="J20" s="2132">
        <f>IF(E2="住宅",70,IF(E2="商业",40,50))</f>
        <v>70</v>
      </c>
      <c r="K20" s="2970"/>
      <c r="L20" s="2133" t="s">
        <v>2355</v>
      </c>
      <c r="M20" s="2134">
        <f>ROUND(SUMPRODUCT((地价!A4:A41=YEAR(G19)&amp;"-"&amp;ROUNDUP(MONTH(G19)/3,0))*(地价!B2:F2=E2)*(地价!B4:F41)),0)</f>
        <v>737</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4</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4.0999999999999996</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f>ROUND(IF(G3&gt;1,IF(I3&lt;7,SUMPRODUCT((B93:B98=I3)*(C92:N92=G2)*(C93:N98)),SUMIF(C92:N92,G2,C100:N100)),IF(I3&lt;7,SUMPRODUCT((B102:B107=I3)*(C92:N92=G2)*(C102:N107)),SUMIF(C92:N92,G2,C109:N109))),4)</f>
        <v>0</v>
      </c>
      <c r="D23" s="2097"/>
      <c r="E23" s="2097"/>
      <c r="F23" s="2146"/>
      <c r="G23" s="2147"/>
      <c r="H23" s="1548"/>
      <c r="I23" s="2000"/>
      <c r="J23" s="2144"/>
      <c r="K23" s="2968"/>
      <c r="L23" s="2968"/>
      <c r="M23" s="2968"/>
      <c r="N23" s="2141" t="s">
        <v>2366</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176.29</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7"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8"/>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8"/>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9"/>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9" t="s">
        <v>2436</v>
      </c>
      <c r="B90" s="3699"/>
      <c r="C90" s="3699"/>
      <c r="D90" s="3699"/>
      <c r="E90" s="3699"/>
      <c r="F90" s="3699"/>
      <c r="G90" s="3699"/>
      <c r="H90" s="3699"/>
      <c r="I90" s="3699"/>
      <c r="J90" s="3699"/>
      <c r="K90" s="2234"/>
      <c r="L90" s="2234"/>
      <c r="M90" s="2234"/>
      <c r="N90" s="2234"/>
      <c r="Q90" s="2976"/>
      <c r="R90" s="2976"/>
      <c r="S90" s="2976"/>
      <c r="T90" s="2976"/>
      <c r="U90" s="2976"/>
      <c r="V90" s="2976"/>
      <c r="W90" s="2976"/>
    </row>
    <row r="91" spans="1:33">
      <c r="A91" s="3701" t="s">
        <v>2437</v>
      </c>
      <c r="B91" s="3701"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701"/>
      <c r="B92" s="3701"/>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702"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3"/>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2" t="s">
        <v>2441</v>
      </c>
      <c r="B101" s="2241" t="s">
        <v>2442</v>
      </c>
      <c r="C101" s="2242">
        <f>$G$3</f>
        <v>4.08</v>
      </c>
      <c r="D101" s="2242">
        <f t="shared" ref="D101:N101" si="32">$G$3</f>
        <v>4.08</v>
      </c>
      <c r="E101" s="2242">
        <f t="shared" si="32"/>
        <v>4.08</v>
      </c>
      <c r="F101" s="2242">
        <f t="shared" si="32"/>
        <v>4.08</v>
      </c>
      <c r="G101" s="2242">
        <f t="shared" si="32"/>
        <v>4.08</v>
      </c>
      <c r="H101" s="2242">
        <f t="shared" si="32"/>
        <v>4.08</v>
      </c>
      <c r="I101" s="2242">
        <f t="shared" si="32"/>
        <v>4.08</v>
      </c>
      <c r="J101" s="2242">
        <f t="shared" si="32"/>
        <v>4.08</v>
      </c>
      <c r="K101" s="2242">
        <f t="shared" si="32"/>
        <v>4.08</v>
      </c>
      <c r="L101" s="2242">
        <f t="shared" si="32"/>
        <v>4.08</v>
      </c>
      <c r="M101" s="2242">
        <f t="shared" si="32"/>
        <v>4.08</v>
      </c>
      <c r="N101" s="2242">
        <f t="shared" si="32"/>
        <v>4.08</v>
      </c>
      <c r="Q101" s="2976"/>
      <c r="R101" s="2976"/>
      <c r="S101" s="2976"/>
      <c r="T101" s="2976"/>
      <c r="U101" s="2976"/>
      <c r="V101" s="2976"/>
      <c r="W101" s="2976"/>
    </row>
    <row r="102" spans="1:23">
      <c r="A102" s="3703"/>
      <c r="B102" s="2237">
        <v>1</v>
      </c>
      <c r="C102" s="2238">
        <f>1.9362/C101</f>
        <v>0.47455882352941176</v>
      </c>
      <c r="D102" s="2238">
        <f>1.9362/D101</f>
        <v>0.47455882352941176</v>
      </c>
      <c r="E102" s="2238">
        <f>1.8629/E101</f>
        <v>0.45659313725490197</v>
      </c>
      <c r="F102" s="2238">
        <f>1.8629/F101</f>
        <v>0.45659313725490197</v>
      </c>
      <c r="G102" s="2238">
        <f>1.8629/G101</f>
        <v>0.45659313725490197</v>
      </c>
      <c r="H102" s="2238">
        <f>1.8629/H101</f>
        <v>0.45659313725490197</v>
      </c>
      <c r="I102" s="2238">
        <f>1.8629/I101</f>
        <v>0.45659313725490197</v>
      </c>
      <c r="J102" s="2238">
        <f>1.942/J101</f>
        <v>0.47598039215686272</v>
      </c>
      <c r="K102" s="2238">
        <f>1.942/K101</f>
        <v>0.47598039215686272</v>
      </c>
      <c r="L102" s="2238">
        <f>1.942/L101</f>
        <v>0.47598039215686272</v>
      </c>
      <c r="M102" s="2238">
        <f>1.942/M101</f>
        <v>0.47598039215686272</v>
      </c>
      <c r="N102" s="2238">
        <f>1.942/N101</f>
        <v>0.47598039215686272</v>
      </c>
      <c r="Q102" s="2976"/>
      <c r="R102" s="2976"/>
      <c r="S102" s="2976"/>
      <c r="T102" s="2976"/>
      <c r="U102" s="2976"/>
      <c r="V102" s="2976"/>
      <c r="W102" s="2976"/>
    </row>
    <row r="103" spans="1:23">
      <c r="A103" s="3703"/>
      <c r="B103" s="2237">
        <v>2</v>
      </c>
      <c r="C103" s="2238">
        <f>1.4198/C101</f>
        <v>0.34799019607843135</v>
      </c>
      <c r="D103" s="2238">
        <f>1.4198/D101</f>
        <v>0.34799019607843135</v>
      </c>
      <c r="E103" s="2238">
        <f>1.3372/E101</f>
        <v>0.32774509803921564</v>
      </c>
      <c r="F103" s="2238">
        <f>1.3372/F101</f>
        <v>0.32774509803921564</v>
      </c>
      <c r="G103" s="2238">
        <f>1.3372/G101</f>
        <v>0.32774509803921564</v>
      </c>
      <c r="H103" s="2238">
        <f>1.3372/H101</f>
        <v>0.32774509803921564</v>
      </c>
      <c r="I103" s="2238">
        <f>1.3372/I101</f>
        <v>0.32774509803921564</v>
      </c>
      <c r="J103" s="2238">
        <f>1.2799/J101</f>
        <v>0.31370098039215688</v>
      </c>
      <c r="K103" s="2238">
        <f>1.2799/K101</f>
        <v>0.31370098039215688</v>
      </c>
      <c r="L103" s="2238">
        <f>1.2799/L101</f>
        <v>0.31370098039215688</v>
      </c>
      <c r="M103" s="2238">
        <f>1.2799/M101</f>
        <v>0.31370098039215688</v>
      </c>
      <c r="N103" s="2238">
        <f>1.2799/N101</f>
        <v>0.31370098039215688</v>
      </c>
      <c r="Q103" s="2976"/>
      <c r="R103" s="2976"/>
      <c r="S103" s="2976"/>
      <c r="T103" s="2976"/>
      <c r="U103" s="2976"/>
      <c r="V103" s="2976"/>
      <c r="W103" s="2976"/>
    </row>
    <row r="104" spans="1:23">
      <c r="A104" s="3703"/>
      <c r="B104" s="2237">
        <v>3</v>
      </c>
      <c r="C104" s="2238">
        <f>1.1594/C101</f>
        <v>0.28416666666666668</v>
      </c>
      <c r="D104" s="2238">
        <f>1.1594/D101</f>
        <v>0.28416666666666668</v>
      </c>
      <c r="E104" s="2238">
        <f>1.0788/E101</f>
        <v>0.26441176470588235</v>
      </c>
      <c r="F104" s="2238">
        <f>1.0788/F101</f>
        <v>0.26441176470588235</v>
      </c>
      <c r="G104" s="2238">
        <f>1.0788/G101</f>
        <v>0.26441176470588235</v>
      </c>
      <c r="H104" s="2238">
        <f>1.0788/H101</f>
        <v>0.26441176470588235</v>
      </c>
      <c r="I104" s="2238">
        <f>1.0788/I101</f>
        <v>0.26441176470588235</v>
      </c>
      <c r="J104" s="2238">
        <f>1.0072/J101</f>
        <v>0.24686274509803924</v>
      </c>
      <c r="K104" s="2238">
        <f>1.0072/K101</f>
        <v>0.24686274509803924</v>
      </c>
      <c r="L104" s="2238">
        <f>1.0072/L101</f>
        <v>0.24686274509803924</v>
      </c>
      <c r="M104" s="2238">
        <f>1.0072/M101</f>
        <v>0.24686274509803924</v>
      </c>
      <c r="N104" s="2238">
        <f>1.0072/N101</f>
        <v>0.24686274509803924</v>
      </c>
      <c r="Q104" s="2976"/>
      <c r="R104" s="2976"/>
      <c r="S104" s="2976"/>
      <c r="T104" s="2976"/>
      <c r="U104" s="2976"/>
      <c r="V104" s="2976"/>
      <c r="W104" s="2976"/>
    </row>
    <row r="105" spans="1:23">
      <c r="A105" s="3703"/>
      <c r="B105" s="2237">
        <v>4</v>
      </c>
      <c r="C105" s="2238">
        <f>0.9622/C101</f>
        <v>0.23583333333333334</v>
      </c>
      <c r="D105" s="2238">
        <f>0.9622/D101</f>
        <v>0.23583333333333334</v>
      </c>
      <c r="E105" s="2238">
        <f>0.8656/E101</f>
        <v>0.21215686274509804</v>
      </c>
      <c r="F105" s="2238">
        <f>0.8656/F101</f>
        <v>0.21215686274509804</v>
      </c>
      <c r="G105" s="2238">
        <f>0.8656/G101</f>
        <v>0.21215686274509804</v>
      </c>
      <c r="H105" s="2238">
        <f>0.8656/H101</f>
        <v>0.21215686274509804</v>
      </c>
      <c r="I105" s="2238">
        <f>0.8656/I101</f>
        <v>0.21215686274509804</v>
      </c>
      <c r="J105" s="2238">
        <f>0.7525/J101</f>
        <v>0.1844362745098039</v>
      </c>
      <c r="K105" s="2238">
        <f>0.7525/K101</f>
        <v>0.1844362745098039</v>
      </c>
      <c r="L105" s="2238">
        <f>0.7525/L101</f>
        <v>0.1844362745098039</v>
      </c>
      <c r="M105" s="2238">
        <f>0.7525/M101</f>
        <v>0.1844362745098039</v>
      </c>
      <c r="N105" s="2238">
        <f>0.7525/N101</f>
        <v>0.1844362745098039</v>
      </c>
      <c r="Q105" s="2976"/>
      <c r="R105" s="2976"/>
      <c r="S105" s="2976"/>
      <c r="T105" s="2976"/>
      <c r="U105" s="2976"/>
      <c r="V105" s="2976"/>
      <c r="W105" s="2976"/>
    </row>
    <row r="106" spans="1:23">
      <c r="A106" s="3703"/>
      <c r="B106" s="2237">
        <v>5</v>
      </c>
      <c r="C106" s="2238">
        <f>0.8417/C101</f>
        <v>0.20629901960784314</v>
      </c>
      <c r="D106" s="2238">
        <f>0.8417/D101</f>
        <v>0.20629901960784314</v>
      </c>
      <c r="E106" s="2238">
        <f>0.7371/E101</f>
        <v>0.18066176470588236</v>
      </c>
      <c r="F106" s="2238">
        <f>0.7371/F101</f>
        <v>0.18066176470588236</v>
      </c>
      <c r="G106" s="2238">
        <f>0.7371/G101</f>
        <v>0.18066176470588236</v>
      </c>
      <c r="H106" s="2238">
        <f>0.7371/H101</f>
        <v>0.18066176470588236</v>
      </c>
      <c r="I106" s="2238">
        <f>0.7371/I101</f>
        <v>0.18066176470588236</v>
      </c>
      <c r="J106" s="2238">
        <f>0.5659/J101</f>
        <v>0.13870098039215686</v>
      </c>
      <c r="K106" s="2238">
        <f>0.5659/K101</f>
        <v>0.13870098039215686</v>
      </c>
      <c r="L106" s="2238">
        <f>0.5659/L101</f>
        <v>0.13870098039215686</v>
      </c>
      <c r="M106" s="2238">
        <f>0.5659/M101</f>
        <v>0.13870098039215686</v>
      </c>
      <c r="N106" s="2238">
        <f>0.5659/N101</f>
        <v>0.13870098039215686</v>
      </c>
      <c r="Q106" s="2976"/>
      <c r="R106" s="2976"/>
      <c r="S106" s="2976"/>
      <c r="T106" s="2976"/>
      <c r="U106" s="2976"/>
      <c r="V106" s="2976"/>
      <c r="W106" s="2976"/>
    </row>
    <row r="107" spans="1:23">
      <c r="A107" s="3703"/>
      <c r="B107" s="2237">
        <v>6</v>
      </c>
      <c r="C107" s="2238">
        <f>0.7608/C101</f>
        <v>0.18647058823529411</v>
      </c>
      <c r="D107" s="2238">
        <f>0.7608/D101</f>
        <v>0.18647058823529411</v>
      </c>
      <c r="E107" s="2238">
        <f>0.6482/E101</f>
        <v>0.15887254901960784</v>
      </c>
      <c r="F107" s="2238">
        <f>0.6482/F101</f>
        <v>0.15887254901960784</v>
      </c>
      <c r="G107" s="2238">
        <f>0.6482/G101</f>
        <v>0.15887254901960784</v>
      </c>
      <c r="H107" s="2238">
        <f>0.6482/H101</f>
        <v>0.15887254901960784</v>
      </c>
      <c r="I107" s="2238">
        <f>0.6482/I101</f>
        <v>0.15887254901960784</v>
      </c>
      <c r="J107" s="2238">
        <f>0.4525/J101</f>
        <v>0.11090686274509803</v>
      </c>
      <c r="K107" s="2238">
        <f>0.4525/K101</f>
        <v>0.11090686274509803</v>
      </c>
      <c r="L107" s="2238">
        <f>0.4525/L101</f>
        <v>0.11090686274509803</v>
      </c>
      <c r="M107" s="2238">
        <f>0.4525/M101</f>
        <v>0.11090686274509803</v>
      </c>
      <c r="N107" s="2238">
        <f>0.4525/N101</f>
        <v>0.11090686274509803</v>
      </c>
      <c r="Q107" s="2976"/>
      <c r="R107" s="2976"/>
      <c r="S107" s="2976"/>
      <c r="T107" s="2976"/>
      <c r="U107" s="2976"/>
      <c r="V107" s="2976"/>
      <c r="W107" s="2976"/>
    </row>
    <row r="108" spans="1:23">
      <c r="A108" s="3703"/>
      <c r="B108" s="3705"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4"/>
      <c r="B109" s="3706"/>
      <c r="C109" s="2240">
        <f>(-0.163*(C108^2)-0.59*C108+7617)*(10^(-4))/C101</f>
        <v>0.18669117647058825</v>
      </c>
      <c r="D109" s="2240">
        <f>(-0.163*(D108^2)-0.59*D108+7617)*(10^(-4))/D101</f>
        <v>0.18669117647058825</v>
      </c>
      <c r="E109" s="2240">
        <f>(-0.161*(E108^2)-7.509*E108+6533)*(10^(-4))/E101</f>
        <v>0.16012254901960785</v>
      </c>
      <c r="F109" s="2240">
        <f>(-0.161*(F108^2)-7.509*F108+6533)*(10^(-4))/F101</f>
        <v>0.16012254901960785</v>
      </c>
      <c r="G109" s="2240">
        <f>(-0.161*(G108^2)-7.509*G108+6533)*(10^(-4))/G101</f>
        <v>0.16012254901960785</v>
      </c>
      <c r="H109" s="2240">
        <f>(-0.161*(H108^2)-7.509*H108+6533)*(10^(-4))/H101</f>
        <v>0.16012254901960785</v>
      </c>
      <c r="I109" s="2240">
        <f>(-0.161*(I108^2)-7.509*I108+6533)*(10^(-4))/I101</f>
        <v>0.16012254901960785</v>
      </c>
      <c r="J109" s="2240">
        <f>(-0.214*(J108^2)-21.991*J108+4665)*(10^(-4))/J101</f>
        <v>0.11433823529411766</v>
      </c>
      <c r="K109" s="2240">
        <f>(-0.214*(K108^2)-21.991*K108+4665)*(10^(-4))/K101</f>
        <v>0.11433823529411766</v>
      </c>
      <c r="L109" s="2240">
        <f>(-0.214*(L108^2)-21.991*L108+4665)*(10^(-4))/L101</f>
        <v>0.11433823529411766</v>
      </c>
      <c r="M109" s="2240">
        <f>(-0.214*(M108^2)-21.991*M108+4665)*(10^(-4))/M101</f>
        <v>0.11433823529411766</v>
      </c>
      <c r="N109" s="2240">
        <f>(-0.214*(N108^2)-21.991*N108+4665)*(10^(-4))/N101</f>
        <v>0.11433823529411766</v>
      </c>
      <c r="Q109" s="2976"/>
      <c r="R109" s="2976"/>
      <c r="S109" s="2976"/>
      <c r="T109" s="2976"/>
      <c r="U109" s="2976"/>
      <c r="V109" s="2976"/>
      <c r="W109" s="2976"/>
    </row>
    <row r="110" spans="1:23">
      <c r="A110" s="3700" t="s">
        <v>2444</v>
      </c>
      <c r="B110" s="3700"/>
      <c r="C110" s="3700"/>
      <c r="D110" s="3700"/>
      <c r="E110" s="3700"/>
      <c r="F110" s="3700"/>
      <c r="G110" s="3700"/>
      <c r="H110" s="3700"/>
      <c r="I110" s="3700"/>
      <c r="J110" s="3700"/>
      <c r="K110" s="2008"/>
      <c r="L110" s="2008"/>
      <c r="M110" s="2008"/>
      <c r="N110" s="2008"/>
      <c r="Q110" s="2976"/>
      <c r="R110" s="2976"/>
      <c r="S110" s="2976"/>
      <c r="T110" s="2976"/>
      <c r="U110" s="2976"/>
      <c r="V110" s="2976"/>
      <c r="W110" s="2976"/>
    </row>
    <row r="112" spans="1:23" ht="13.5" thickBot="1"/>
    <row r="113" spans="1:13" ht="25.5" thickBot="1">
      <c r="A113" s="2243" t="s">
        <v>2445</v>
      </c>
      <c r="B113" s="2244">
        <f>G3</f>
        <v>4.08</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0.89510000000000001</v>
      </c>
      <c r="C115" s="2256">
        <f>B115</f>
        <v>0.89510000000000001</v>
      </c>
      <c r="D115" s="2256">
        <f>ROUND(0.8331-0.0109*B113,4)</f>
        <v>0.78859999999999997</v>
      </c>
      <c r="E115" s="2256">
        <f>D115</f>
        <v>0.78859999999999997</v>
      </c>
      <c r="F115" s="2256">
        <f>E115</f>
        <v>0.78859999999999997</v>
      </c>
      <c r="G115" s="2256">
        <f>F115</f>
        <v>0.78859999999999997</v>
      </c>
      <c r="H115" s="2256">
        <f>G115</f>
        <v>0.78859999999999997</v>
      </c>
      <c r="I115" s="2256">
        <f>ROUND(0.689-0.0155*B113,4)</f>
        <v>0.62580000000000002</v>
      </c>
      <c r="J115" s="2256">
        <f t="shared" ref="J115:M118" si="34">I115</f>
        <v>0.62580000000000002</v>
      </c>
      <c r="K115" s="2256">
        <f t="shared" si="34"/>
        <v>0.62580000000000002</v>
      </c>
      <c r="L115" s="2256">
        <f t="shared" si="34"/>
        <v>0.62580000000000002</v>
      </c>
      <c r="M115" s="2257">
        <f t="shared" si="34"/>
        <v>0.62580000000000002</v>
      </c>
    </row>
    <row r="116" spans="1:13">
      <c r="A116" s="2255" t="s">
        <v>2334</v>
      </c>
      <c r="B116" s="2256">
        <f>ROUND(0.949-0.012*B113,4)</f>
        <v>0.9</v>
      </c>
      <c r="C116" s="2256">
        <f>B116</f>
        <v>0.9</v>
      </c>
      <c r="D116" s="2256">
        <f>ROUND(0.8567-0.013*B113,4)</f>
        <v>0.80369999999999997</v>
      </c>
      <c r="E116" s="2256">
        <f t="shared" ref="E116:H117" si="35">D116</f>
        <v>0.80369999999999997</v>
      </c>
      <c r="F116" s="2256">
        <f t="shared" si="35"/>
        <v>0.80369999999999997</v>
      </c>
      <c r="G116" s="2256">
        <f t="shared" si="35"/>
        <v>0.80369999999999997</v>
      </c>
      <c r="H116" s="2256">
        <f t="shared" si="35"/>
        <v>0.80369999999999997</v>
      </c>
      <c r="I116" s="2256">
        <f>ROUND(0.7694-0.014*B113,4)</f>
        <v>0.71230000000000004</v>
      </c>
      <c r="J116" s="2256">
        <f t="shared" si="34"/>
        <v>0.71230000000000004</v>
      </c>
      <c r="K116" s="2256">
        <f t="shared" si="34"/>
        <v>0.71230000000000004</v>
      </c>
      <c r="L116" s="2256">
        <f t="shared" si="34"/>
        <v>0.71230000000000004</v>
      </c>
      <c r="M116" s="2257">
        <f t="shared" si="34"/>
        <v>0.71230000000000004</v>
      </c>
    </row>
    <row r="117" spans="1:13">
      <c r="A117" s="2255" t="s">
        <v>2335</v>
      </c>
      <c r="B117" s="2256">
        <f>ROUND(0.8808-0.006*B113,4)</f>
        <v>0.85629999999999995</v>
      </c>
      <c r="C117" s="2256">
        <f>B117</f>
        <v>0.85629999999999995</v>
      </c>
      <c r="D117" s="2256">
        <f>ROUND(0.8748-0.008*B113,4)</f>
        <v>0.84219999999999995</v>
      </c>
      <c r="E117" s="2256">
        <f t="shared" si="35"/>
        <v>0.84219999999999995</v>
      </c>
      <c r="F117" s="2256">
        <f t="shared" si="35"/>
        <v>0.84219999999999995</v>
      </c>
      <c r="G117" s="2256">
        <f t="shared" si="35"/>
        <v>0.84219999999999995</v>
      </c>
      <c r="H117" s="2256">
        <f t="shared" si="35"/>
        <v>0.84219999999999995</v>
      </c>
      <c r="I117" s="2256">
        <f>ROUND(0.7412-0.0095*B113,4)</f>
        <v>0.70240000000000002</v>
      </c>
      <c r="J117" s="2256">
        <f t="shared" si="34"/>
        <v>0.70240000000000002</v>
      </c>
      <c r="K117" s="2256">
        <f t="shared" si="34"/>
        <v>0.70240000000000002</v>
      </c>
      <c r="L117" s="2256">
        <f t="shared" si="34"/>
        <v>0.70240000000000002</v>
      </c>
      <c r="M117" s="2257">
        <f t="shared" si="34"/>
        <v>0.70240000000000002</v>
      </c>
    </row>
    <row r="118" spans="1:13" ht="13.5" thickBot="1">
      <c r="A118" s="2258" t="s">
        <v>2336</v>
      </c>
      <c r="B118" s="2259">
        <f>ROUND(0.7275-0.01*B113,4)</f>
        <v>0.68669999999999998</v>
      </c>
      <c r="C118" s="2259">
        <f>B118</f>
        <v>0.68669999999999998</v>
      </c>
      <c r="D118" s="2259">
        <f>ROUND(0.7043-0.012*B113,4)</f>
        <v>0.65529999999999999</v>
      </c>
      <c r="E118" s="2259">
        <f>D118</f>
        <v>0.65529999999999999</v>
      </c>
      <c r="F118" s="2259">
        <f>E118</f>
        <v>0.65529999999999999</v>
      </c>
      <c r="G118" s="2259">
        <f>ROUND(0.6299-0.0122*B113,4)</f>
        <v>0.58009999999999995</v>
      </c>
      <c r="H118" s="2259">
        <f>G118</f>
        <v>0.58009999999999995</v>
      </c>
      <c r="I118" s="2259">
        <f>ROUND(0.5667-0.0136*B113,4)</f>
        <v>0.51119999999999999</v>
      </c>
      <c r="J118" s="2259">
        <f t="shared" si="34"/>
        <v>0.51119999999999999</v>
      </c>
      <c r="K118" s="2259">
        <f t="shared" si="34"/>
        <v>0.51119999999999999</v>
      </c>
      <c r="L118" s="2259">
        <f t="shared" si="34"/>
        <v>0.51119999999999999</v>
      </c>
      <c r="M118" s="2260">
        <f t="shared" si="34"/>
        <v>0.51119999999999999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9" t="s">
        <v>2802</v>
      </c>
      <c r="B20" s="3722" t="s">
        <v>2810</v>
      </c>
      <c r="C20" s="3290" t="s">
        <v>2811</v>
      </c>
      <c r="D20" s="3291"/>
      <c r="E20" s="3292">
        <v>1</v>
      </c>
      <c r="F20" s="3293" t="s">
        <v>2812</v>
      </c>
      <c r="G20" s="3293"/>
    </row>
    <row r="21" spans="1:13" ht="19.5" customHeight="1">
      <c r="A21" s="3720"/>
      <c r="B21" s="3717"/>
      <c r="C21" s="740" t="s">
        <v>2813</v>
      </c>
      <c r="D21" s="741"/>
      <c r="E21" s="3294">
        <v>1</v>
      </c>
      <c r="F21" s="3293" t="s">
        <v>2814</v>
      </c>
      <c r="G21" s="3293"/>
    </row>
    <row r="22" spans="1:13" ht="19.5" customHeight="1">
      <c r="A22" s="3720"/>
      <c r="B22" s="3717"/>
      <c r="C22" s="740" t="s">
        <v>2815</v>
      </c>
      <c r="D22" s="741"/>
      <c r="E22" s="3294">
        <v>0.9</v>
      </c>
      <c r="F22" s="3293" t="s">
        <v>2816</v>
      </c>
      <c r="G22" s="3293"/>
    </row>
    <row r="23" spans="1:13" ht="19.5" customHeight="1">
      <c r="A23" s="3720"/>
      <c r="B23" s="3717"/>
      <c r="C23" s="740" t="s">
        <v>2817</v>
      </c>
      <c r="D23" s="741"/>
      <c r="E23" s="3294">
        <v>0.9</v>
      </c>
      <c r="F23" s="3293" t="s">
        <v>2818</v>
      </c>
      <c r="G23" s="3293"/>
    </row>
    <row r="24" spans="1:13" ht="19.5" customHeight="1">
      <c r="A24" s="3720"/>
      <c r="B24" s="3717"/>
      <c r="C24" s="740" t="s">
        <v>2819</v>
      </c>
      <c r="D24" s="741"/>
      <c r="E24" s="3294">
        <v>0.8</v>
      </c>
      <c r="F24" s="3293" t="s">
        <v>2820</v>
      </c>
      <c r="G24" s="3293"/>
    </row>
    <row r="25" spans="1:13" ht="19.5" customHeight="1" thickBot="1">
      <c r="A25" s="3721"/>
      <c r="B25" s="3723"/>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24" t="s">
        <v>2807</v>
      </c>
      <c r="B27" s="3722" t="s">
        <v>2807</v>
      </c>
      <c r="C27" s="3290" t="s">
        <v>2824</v>
      </c>
      <c r="D27" s="3291"/>
      <c r="E27" s="3292">
        <v>1</v>
      </c>
      <c r="F27" s="3293" t="s">
        <v>2865</v>
      </c>
      <c r="G27" s="3293"/>
    </row>
    <row r="28" spans="1:13" ht="19.5" customHeight="1">
      <c r="A28" s="3725"/>
      <c r="B28" s="3717"/>
      <c r="C28" s="740" t="s">
        <v>2825</v>
      </c>
      <c r="D28" s="741"/>
      <c r="E28" s="3294">
        <v>1</v>
      </c>
      <c r="F28" s="3293" t="s">
        <v>2866</v>
      </c>
      <c r="G28" s="3293"/>
    </row>
    <row r="29" spans="1:13" ht="19.5" customHeight="1">
      <c r="A29" s="3725"/>
      <c r="B29" s="3717"/>
      <c r="C29" s="740" t="s">
        <v>2826</v>
      </c>
      <c r="D29" s="741"/>
      <c r="E29" s="3294">
        <v>0.8</v>
      </c>
      <c r="F29" s="3293" t="s">
        <v>2867</v>
      </c>
      <c r="G29" s="3293"/>
    </row>
    <row r="30" spans="1:13" ht="19.5" customHeight="1">
      <c r="A30" s="3725"/>
      <c r="B30" s="3717"/>
      <c r="C30" s="740" t="s">
        <v>2827</v>
      </c>
      <c r="D30" s="741"/>
      <c r="E30" s="3294">
        <v>0.8</v>
      </c>
      <c r="F30" s="3293" t="s">
        <v>2868</v>
      </c>
      <c r="G30" s="3293"/>
    </row>
    <row r="31" spans="1:13" ht="19.5" customHeight="1">
      <c r="A31" s="3725"/>
      <c r="B31" s="3717"/>
      <c r="C31" s="740" t="s">
        <v>2828</v>
      </c>
      <c r="D31" s="741"/>
      <c r="E31" s="3294">
        <v>0.8</v>
      </c>
      <c r="F31" s="3293" t="s">
        <v>2869</v>
      </c>
      <c r="G31" s="3293"/>
    </row>
    <row r="32" spans="1:13" ht="19.5" customHeight="1">
      <c r="A32" s="3725"/>
      <c r="B32" s="3717"/>
      <c r="C32" s="740" t="s">
        <v>2829</v>
      </c>
      <c r="D32" s="741"/>
      <c r="E32" s="3294">
        <v>0.7</v>
      </c>
      <c r="F32" s="3293" t="s">
        <v>2870</v>
      </c>
      <c r="G32" s="3293"/>
    </row>
    <row r="33" spans="1:7" ht="19.5" customHeight="1">
      <c r="A33" s="3725"/>
      <c r="B33" s="3717"/>
      <c r="C33" s="740" t="s">
        <v>2830</v>
      </c>
      <c r="D33" s="741"/>
      <c r="E33" s="3294">
        <v>0.8</v>
      </c>
      <c r="F33" s="3293" t="s">
        <v>2871</v>
      </c>
      <c r="G33" s="3293"/>
    </row>
    <row r="34" spans="1:7" ht="19.5" customHeight="1">
      <c r="A34" s="3725"/>
      <c r="B34" s="3717"/>
      <c r="C34" s="740" t="s">
        <v>2831</v>
      </c>
      <c r="D34" s="741"/>
      <c r="E34" s="3294">
        <v>0.6</v>
      </c>
      <c r="F34" s="3293" t="s">
        <v>2872</v>
      </c>
      <c r="G34" s="3293"/>
    </row>
    <row r="35" spans="1:7" ht="19.5" customHeight="1">
      <c r="A35" s="3725"/>
      <c r="B35" s="3717"/>
      <c r="C35" s="740" t="s">
        <v>2832</v>
      </c>
      <c r="D35" s="741"/>
      <c r="E35" s="3294">
        <v>0.2</v>
      </c>
      <c r="F35" s="3293" t="s">
        <v>2873</v>
      </c>
      <c r="G35" s="3293"/>
    </row>
    <row r="36" spans="1:7" ht="19.5" customHeight="1">
      <c r="A36" s="3725"/>
      <c r="B36" s="3717"/>
      <c r="C36" s="740" t="s">
        <v>2833</v>
      </c>
      <c r="D36" s="741"/>
      <c r="E36" s="3294">
        <v>0.2</v>
      </c>
      <c r="F36" s="3293" t="s">
        <v>2874</v>
      </c>
      <c r="G36" s="3293"/>
    </row>
    <row r="37" spans="1:7" ht="19.5" customHeight="1">
      <c r="A37" s="3725"/>
      <c r="B37" s="3716" t="s">
        <v>2834</v>
      </c>
      <c r="C37" s="740" t="s">
        <v>2835</v>
      </c>
      <c r="D37" s="741"/>
      <c r="E37" s="3294">
        <v>0.6</v>
      </c>
      <c r="F37" s="3293" t="s">
        <v>2875</v>
      </c>
      <c r="G37" s="3293"/>
    </row>
    <row r="38" spans="1:7" ht="19.5" customHeight="1">
      <c r="A38" s="3725"/>
      <c r="B38" s="3717"/>
      <c r="C38" s="740" t="s">
        <v>2836</v>
      </c>
      <c r="D38" s="741"/>
      <c r="E38" s="3294">
        <v>0.6</v>
      </c>
      <c r="F38" s="3293" t="s">
        <v>2876</v>
      </c>
      <c r="G38" s="3293"/>
    </row>
    <row r="39" spans="1:7" ht="19.5" customHeight="1" thickBot="1">
      <c r="A39" s="3726"/>
      <c r="B39" s="3723"/>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9" t="s">
        <v>2840</v>
      </c>
      <c r="B41" s="3722" t="s">
        <v>2841</v>
      </c>
      <c r="C41" s="3290" t="s">
        <v>2842</v>
      </c>
      <c r="D41" s="3291"/>
      <c r="E41" s="3292">
        <v>1</v>
      </c>
      <c r="F41" s="3293" t="s">
        <v>2843</v>
      </c>
      <c r="G41" s="3293"/>
    </row>
    <row r="42" spans="1:7" ht="19.5" customHeight="1">
      <c r="A42" s="3720"/>
      <c r="B42" s="3717"/>
      <c r="C42" s="740" t="s">
        <v>2844</v>
      </c>
      <c r="D42" s="741"/>
      <c r="E42" s="3294">
        <v>1</v>
      </c>
      <c r="F42" s="3293" t="s">
        <v>2845</v>
      </c>
      <c r="G42" s="3293"/>
    </row>
    <row r="43" spans="1:7" ht="19.5" customHeight="1">
      <c r="A43" s="3720"/>
      <c r="B43" s="3718"/>
      <c r="C43" s="740" t="s">
        <v>2846</v>
      </c>
      <c r="D43" s="741"/>
      <c r="E43" s="3294">
        <v>1.5</v>
      </c>
      <c r="F43" s="3293" t="s">
        <v>2847</v>
      </c>
      <c r="G43" s="3293"/>
    </row>
    <row r="44" spans="1:7" ht="19.5" customHeight="1">
      <c r="A44" s="3720"/>
      <c r="B44" s="3303" t="s">
        <v>2807</v>
      </c>
      <c r="C44" s="740" t="s">
        <v>2806</v>
      </c>
      <c r="D44" s="741"/>
      <c r="E44" s="3294">
        <v>2</v>
      </c>
      <c r="F44" s="3293" t="s">
        <v>2848</v>
      </c>
      <c r="G44" s="3293"/>
    </row>
    <row r="45" spans="1:7" ht="19.5" customHeight="1">
      <c r="A45" s="3720"/>
      <c r="B45" s="3716" t="s">
        <v>2849</v>
      </c>
      <c r="C45" s="740" t="s">
        <v>2850</v>
      </c>
      <c r="D45" s="741"/>
      <c r="E45" s="3294">
        <v>1</v>
      </c>
      <c r="F45" s="3293" t="s">
        <v>2851</v>
      </c>
      <c r="G45" s="3293"/>
    </row>
    <row r="46" spans="1:7" ht="19.5" customHeight="1">
      <c r="A46" s="3720"/>
      <c r="B46" s="3717"/>
      <c r="C46" s="740" t="s">
        <v>2852</v>
      </c>
      <c r="D46" s="741"/>
      <c r="E46" s="3294">
        <v>1</v>
      </c>
      <c r="F46" s="3293" t="s">
        <v>2853</v>
      </c>
      <c r="G46" s="3293"/>
    </row>
    <row r="47" spans="1:7" ht="19.5" customHeight="1">
      <c r="A47" s="3720"/>
      <c r="B47" s="3717"/>
      <c r="C47" s="740" t="s">
        <v>2854</v>
      </c>
      <c r="D47" s="741"/>
      <c r="E47" s="3294">
        <v>1</v>
      </c>
      <c r="F47" s="3293" t="s">
        <v>2855</v>
      </c>
      <c r="G47" s="3293"/>
    </row>
    <row r="48" spans="1:7" ht="19.5" customHeight="1">
      <c r="A48" s="3720"/>
      <c r="B48" s="3717"/>
      <c r="C48" s="740" t="s">
        <v>2856</v>
      </c>
      <c r="D48" s="741"/>
      <c r="E48" s="3294">
        <v>1</v>
      </c>
      <c r="F48" s="3293" t="s">
        <v>2857</v>
      </c>
      <c r="G48" s="3293"/>
    </row>
    <row r="49" spans="1:7" ht="19.5" customHeight="1">
      <c r="A49" s="3720"/>
      <c r="B49" s="3717"/>
      <c r="C49" s="740" t="s">
        <v>2858</v>
      </c>
      <c r="D49" s="741"/>
      <c r="E49" s="3294">
        <v>1</v>
      </c>
      <c r="F49" s="3293" t="s">
        <v>2859</v>
      </c>
      <c r="G49" s="3293"/>
    </row>
    <row r="50" spans="1:7" ht="19.5" customHeight="1">
      <c r="A50" s="3720"/>
      <c r="B50" s="3717"/>
      <c r="C50" s="740" t="s">
        <v>2860</v>
      </c>
      <c r="D50" s="741"/>
      <c r="E50" s="3294">
        <v>1</v>
      </c>
      <c r="F50" s="3293" t="s">
        <v>2861</v>
      </c>
      <c r="G50" s="3293"/>
    </row>
    <row r="51" spans="1:7" ht="19.5" customHeight="1" thickBot="1">
      <c r="A51" s="3721"/>
      <c r="B51" s="3723"/>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6" t="s">
        <v>2880</v>
      </c>
      <c r="C73" s="3284" t="s">
        <v>2881</v>
      </c>
      <c r="D73" s="3284" t="s">
        <v>2882</v>
      </c>
      <c r="E73" s="3309">
        <v>0.2</v>
      </c>
      <c r="F73" s="3303">
        <v>25</v>
      </c>
    </row>
    <row r="74" spans="1:7" ht="24">
      <c r="A74" s="3303">
        <v>2</v>
      </c>
      <c r="B74" s="3717"/>
      <c r="C74" s="3284" t="s">
        <v>2883</v>
      </c>
      <c r="D74" s="3284" t="s">
        <v>2884</v>
      </c>
      <c r="E74" s="3309">
        <v>0.2</v>
      </c>
      <c r="F74" s="3303">
        <v>25</v>
      </c>
    </row>
    <row r="75" spans="1:7" ht="24">
      <c r="A75" s="3303">
        <v>3</v>
      </c>
      <c r="B75" s="3717"/>
      <c r="C75" s="3284" t="s">
        <v>2885</v>
      </c>
      <c r="D75" s="3284" t="s">
        <v>2886</v>
      </c>
      <c r="E75" s="3309">
        <v>0.2</v>
      </c>
      <c r="F75" s="3303">
        <v>25</v>
      </c>
    </row>
    <row r="76" spans="1:7" ht="13.5">
      <c r="A76" s="3303">
        <v>4</v>
      </c>
      <c r="B76" s="3717"/>
      <c r="C76" s="3284" t="s">
        <v>2887</v>
      </c>
      <c r="D76" s="3284" t="s">
        <v>2888</v>
      </c>
      <c r="E76" s="3309">
        <v>0.15</v>
      </c>
      <c r="F76" s="3303">
        <v>20</v>
      </c>
    </row>
    <row r="77" spans="1:7" ht="24">
      <c r="A77" s="3303">
        <v>5</v>
      </c>
      <c r="B77" s="3717"/>
      <c r="C77" s="3284" t="s">
        <v>2889</v>
      </c>
      <c r="D77" s="3284" t="s">
        <v>2890</v>
      </c>
      <c r="E77" s="3309">
        <v>0.15</v>
      </c>
      <c r="F77" s="3303">
        <v>20</v>
      </c>
    </row>
    <row r="78" spans="1:7" ht="24">
      <c r="A78" s="3303">
        <v>6</v>
      </c>
      <c r="B78" s="3717"/>
      <c r="C78" s="3284" t="s">
        <v>2891</v>
      </c>
      <c r="D78" s="3284" t="s">
        <v>2892</v>
      </c>
      <c r="E78" s="3309">
        <v>0.15</v>
      </c>
      <c r="F78" s="3303">
        <v>20</v>
      </c>
    </row>
    <row r="79" spans="1:7" ht="24">
      <c r="A79" s="3303">
        <v>7</v>
      </c>
      <c r="B79" s="3717"/>
      <c r="C79" s="3284" t="s">
        <v>2893</v>
      </c>
      <c r="D79" s="3284" t="s">
        <v>2894</v>
      </c>
      <c r="E79" s="3309">
        <v>0.15</v>
      </c>
      <c r="F79" s="3303">
        <v>20</v>
      </c>
    </row>
    <row r="80" spans="1:7" ht="24">
      <c r="A80" s="3303">
        <v>8</v>
      </c>
      <c r="B80" s="3717"/>
      <c r="C80" s="3284" t="s">
        <v>2895</v>
      </c>
      <c r="D80" s="3284" t="s">
        <v>2896</v>
      </c>
      <c r="E80" s="3309">
        <v>0.1</v>
      </c>
      <c r="F80" s="3303">
        <v>15</v>
      </c>
    </row>
    <row r="81" spans="1:6" ht="24">
      <c r="A81" s="3303">
        <v>9</v>
      </c>
      <c r="B81" s="3717"/>
      <c r="C81" s="3284" t="s">
        <v>2897</v>
      </c>
      <c r="D81" s="3284" t="s">
        <v>2898</v>
      </c>
      <c r="E81" s="3309">
        <v>0.1</v>
      </c>
      <c r="F81" s="3303">
        <v>15</v>
      </c>
    </row>
    <row r="82" spans="1:6" ht="24">
      <c r="A82" s="3303">
        <v>10</v>
      </c>
      <c r="B82" s="3717"/>
      <c r="C82" s="3284" t="s">
        <v>2899</v>
      </c>
      <c r="D82" s="3284" t="s">
        <v>2900</v>
      </c>
      <c r="E82" s="3309">
        <v>0.1</v>
      </c>
      <c r="F82" s="3303">
        <v>15</v>
      </c>
    </row>
    <row r="83" spans="1:6" ht="24">
      <c r="A83" s="3303">
        <v>11</v>
      </c>
      <c r="B83" s="3717"/>
      <c r="C83" s="3284" t="s">
        <v>2901</v>
      </c>
      <c r="D83" s="3284" t="s">
        <v>2902</v>
      </c>
      <c r="E83" s="3309">
        <v>0.1</v>
      </c>
      <c r="F83" s="3303">
        <v>15</v>
      </c>
    </row>
    <row r="84" spans="1:6" ht="24">
      <c r="A84" s="3303">
        <v>12</v>
      </c>
      <c r="B84" s="3717"/>
      <c r="C84" s="3284" t="s">
        <v>2903</v>
      </c>
      <c r="D84" s="3284" t="s">
        <v>2904</v>
      </c>
      <c r="E84" s="3309">
        <v>0.1</v>
      </c>
      <c r="F84" s="3303">
        <v>15</v>
      </c>
    </row>
    <row r="85" spans="1:6" ht="13.5">
      <c r="A85" s="3303">
        <v>13</v>
      </c>
      <c r="B85" s="3717"/>
      <c r="C85" s="3284" t="s">
        <v>2905</v>
      </c>
      <c r="D85" s="3284" t="s">
        <v>2906</v>
      </c>
      <c r="E85" s="3309">
        <v>0.1</v>
      </c>
      <c r="F85" s="3303">
        <v>15</v>
      </c>
    </row>
    <row r="86" spans="1:6" ht="13.5">
      <c r="A86" s="3303">
        <v>14</v>
      </c>
      <c r="B86" s="3717"/>
      <c r="C86" s="3284" t="s">
        <v>2907</v>
      </c>
      <c r="D86" s="3284" t="s">
        <v>2908</v>
      </c>
      <c r="E86" s="3309">
        <v>0.1</v>
      </c>
      <c r="F86" s="3303">
        <v>15</v>
      </c>
    </row>
    <row r="87" spans="1:6" ht="13.5">
      <c r="A87" s="3303">
        <v>15</v>
      </c>
      <c r="B87" s="3717"/>
      <c r="C87" s="3284" t="s">
        <v>2909</v>
      </c>
      <c r="D87" s="3284" t="s">
        <v>2910</v>
      </c>
      <c r="E87" s="3309">
        <v>0.1</v>
      </c>
      <c r="F87" s="3303">
        <v>15</v>
      </c>
    </row>
    <row r="88" spans="1:6" ht="24">
      <c r="A88" s="3303">
        <v>16</v>
      </c>
      <c r="B88" s="3717"/>
      <c r="C88" s="3284" t="s">
        <v>2911</v>
      </c>
      <c r="D88" s="3284" t="s">
        <v>2912</v>
      </c>
      <c r="E88" s="3309">
        <v>0.1</v>
      </c>
      <c r="F88" s="3303">
        <v>15</v>
      </c>
    </row>
    <row r="89" spans="1:6" ht="24">
      <c r="A89" s="3303">
        <v>17</v>
      </c>
      <c r="B89" s="3718"/>
      <c r="C89" s="3284" t="s">
        <v>2913</v>
      </c>
      <c r="D89" s="3284" t="s">
        <v>2914</v>
      </c>
      <c r="E89" s="3309">
        <v>0.1</v>
      </c>
      <c r="F89" s="3303">
        <v>15</v>
      </c>
    </row>
    <row r="90" spans="1:6" ht="13.5">
      <c r="A90" s="3303">
        <v>18</v>
      </c>
      <c r="B90" s="3716" t="s">
        <v>2915</v>
      </c>
      <c r="C90" s="3284" t="s">
        <v>2916</v>
      </c>
      <c r="D90" s="3284" t="s">
        <v>2917</v>
      </c>
      <c r="E90" s="3309">
        <v>0.2</v>
      </c>
      <c r="F90" s="3303">
        <v>25</v>
      </c>
    </row>
    <row r="91" spans="1:6" ht="24">
      <c r="A91" s="3303">
        <v>19</v>
      </c>
      <c r="B91" s="3717"/>
      <c r="C91" s="3284" t="s">
        <v>2918</v>
      </c>
      <c r="D91" s="3284" t="s">
        <v>2919</v>
      </c>
      <c r="E91" s="3309">
        <v>0.2</v>
      </c>
      <c r="F91" s="3303">
        <v>25</v>
      </c>
    </row>
    <row r="92" spans="1:6" ht="13.5">
      <c r="A92" s="3303">
        <v>20</v>
      </c>
      <c r="B92" s="3717"/>
      <c r="C92" s="3284" t="s">
        <v>2920</v>
      </c>
      <c r="D92" s="3284" t="s">
        <v>2921</v>
      </c>
      <c r="E92" s="3309">
        <v>0.15</v>
      </c>
      <c r="F92" s="3303">
        <v>20</v>
      </c>
    </row>
    <row r="93" spans="1:6" ht="24">
      <c r="A93" s="3303">
        <v>21</v>
      </c>
      <c r="B93" s="3717"/>
      <c r="C93" s="3284" t="s">
        <v>2922</v>
      </c>
      <c r="D93" s="3284" t="s">
        <v>2923</v>
      </c>
      <c r="E93" s="3309">
        <v>0.15</v>
      </c>
      <c r="F93" s="3303">
        <v>20</v>
      </c>
    </row>
    <row r="94" spans="1:6" ht="24">
      <c r="A94" s="3303">
        <v>22</v>
      </c>
      <c r="B94" s="3717"/>
      <c r="C94" s="3284" t="s">
        <v>2924</v>
      </c>
      <c r="D94" s="3284" t="s">
        <v>2925</v>
      </c>
      <c r="E94" s="3309">
        <v>0.15</v>
      </c>
      <c r="F94" s="3303">
        <v>20</v>
      </c>
    </row>
    <row r="95" spans="1:6" ht="36">
      <c r="A95" s="3303">
        <v>23</v>
      </c>
      <c r="B95" s="3717"/>
      <c r="C95" s="3284" t="s">
        <v>2926</v>
      </c>
      <c r="D95" s="3284" t="s">
        <v>2927</v>
      </c>
      <c r="E95" s="3309">
        <v>0.15</v>
      </c>
      <c r="F95" s="3303">
        <v>20</v>
      </c>
    </row>
    <row r="96" spans="1:6" ht="13.5">
      <c r="A96" s="3303">
        <v>24</v>
      </c>
      <c r="B96" s="3717"/>
      <c r="C96" s="3284" t="s">
        <v>2928</v>
      </c>
      <c r="D96" s="3284" t="s">
        <v>2929</v>
      </c>
      <c r="E96" s="3309">
        <v>0.1</v>
      </c>
      <c r="F96" s="3303">
        <v>15</v>
      </c>
    </row>
    <row r="97" spans="1:6" ht="24">
      <c r="A97" s="3303">
        <v>25</v>
      </c>
      <c r="B97" s="3717"/>
      <c r="C97" s="3284" t="s">
        <v>2930</v>
      </c>
      <c r="D97" s="3284" t="s">
        <v>2931</v>
      </c>
      <c r="E97" s="3309">
        <v>0.1</v>
      </c>
      <c r="F97" s="3303">
        <v>15</v>
      </c>
    </row>
    <row r="98" spans="1:6" ht="24">
      <c r="A98" s="3303">
        <v>26</v>
      </c>
      <c r="B98" s="3717"/>
      <c r="C98" s="3284" t="s">
        <v>2932</v>
      </c>
      <c r="D98" s="3284" t="s">
        <v>2933</v>
      </c>
      <c r="E98" s="3309">
        <v>0.1</v>
      </c>
      <c r="F98" s="3303">
        <v>15</v>
      </c>
    </row>
    <row r="99" spans="1:6" ht="24">
      <c r="A99" s="3303">
        <v>27</v>
      </c>
      <c r="B99" s="3717"/>
      <c r="C99" s="3284" t="s">
        <v>2934</v>
      </c>
      <c r="D99" s="3284" t="s">
        <v>2935</v>
      </c>
      <c r="E99" s="3309">
        <v>0.1</v>
      </c>
      <c r="F99" s="3303">
        <v>15</v>
      </c>
    </row>
    <row r="100" spans="1:6" ht="24">
      <c r="A100" s="3303">
        <v>28</v>
      </c>
      <c r="B100" s="3717"/>
      <c r="C100" s="3284" t="s">
        <v>2936</v>
      </c>
      <c r="D100" s="3284" t="s">
        <v>2937</v>
      </c>
      <c r="E100" s="3309">
        <v>0.1</v>
      </c>
      <c r="F100" s="3303">
        <v>15</v>
      </c>
    </row>
    <row r="101" spans="1:6" ht="24">
      <c r="A101" s="3303">
        <v>29</v>
      </c>
      <c r="B101" s="3717"/>
      <c r="C101" s="3284" t="s">
        <v>2938</v>
      </c>
      <c r="D101" s="3284" t="s">
        <v>2939</v>
      </c>
      <c r="E101" s="3309">
        <v>0.1</v>
      </c>
      <c r="F101" s="3303">
        <v>15</v>
      </c>
    </row>
    <row r="102" spans="1:6" ht="24">
      <c r="A102" s="3303">
        <v>30</v>
      </c>
      <c r="B102" s="3717"/>
      <c r="C102" s="3284" t="s">
        <v>2940</v>
      </c>
      <c r="D102" s="3284" t="s">
        <v>2941</v>
      </c>
      <c r="E102" s="3309">
        <v>0.1</v>
      </c>
      <c r="F102" s="3303">
        <v>15</v>
      </c>
    </row>
    <row r="103" spans="1:6" ht="24">
      <c r="A103" s="3303">
        <v>31</v>
      </c>
      <c r="B103" s="3717"/>
      <c r="C103" s="3284" t="s">
        <v>2942</v>
      </c>
      <c r="D103" s="3284" t="s">
        <v>2943</v>
      </c>
      <c r="E103" s="3309">
        <v>0.1</v>
      </c>
      <c r="F103" s="3303">
        <v>15</v>
      </c>
    </row>
    <row r="104" spans="1:6" ht="24">
      <c r="A104" s="3303">
        <v>32</v>
      </c>
      <c r="B104" s="3717"/>
      <c r="C104" s="3284" t="s">
        <v>2944</v>
      </c>
      <c r="D104" s="3284" t="s">
        <v>2945</v>
      </c>
      <c r="E104" s="3309">
        <v>0.1</v>
      </c>
      <c r="F104" s="3303">
        <v>15</v>
      </c>
    </row>
    <row r="105" spans="1:6" ht="24">
      <c r="A105" s="3303">
        <v>33</v>
      </c>
      <c r="B105" s="3717"/>
      <c r="C105" s="3284" t="s">
        <v>2946</v>
      </c>
      <c r="D105" s="3284" t="s">
        <v>2947</v>
      </c>
      <c r="E105" s="3309">
        <v>0.1</v>
      </c>
      <c r="F105" s="3303">
        <v>15</v>
      </c>
    </row>
    <row r="106" spans="1:6" ht="24">
      <c r="A106" s="3303">
        <v>34</v>
      </c>
      <c r="B106" s="3718"/>
      <c r="C106" s="3284" t="s">
        <v>2948</v>
      </c>
      <c r="D106" s="3284" t="s">
        <v>2949</v>
      </c>
      <c r="E106" s="3309">
        <v>0.1</v>
      </c>
      <c r="F106" s="3303">
        <v>15</v>
      </c>
    </row>
    <row r="107" spans="1:6" ht="24">
      <c r="A107" s="3303">
        <v>35</v>
      </c>
      <c r="B107" s="3716" t="s">
        <v>2950</v>
      </c>
      <c r="C107" s="3303" t="s">
        <v>2951</v>
      </c>
      <c r="D107" s="3284" t="s">
        <v>2952</v>
      </c>
      <c r="E107" s="3309">
        <v>0.15</v>
      </c>
      <c r="F107" s="3303">
        <v>20</v>
      </c>
    </row>
    <row r="108" spans="1:6" ht="24">
      <c r="A108" s="3303">
        <v>36</v>
      </c>
      <c r="B108" s="3717"/>
      <c r="C108" s="3303" t="s">
        <v>2953</v>
      </c>
      <c r="D108" s="3284" t="s">
        <v>2954</v>
      </c>
      <c r="E108" s="3309">
        <v>0.15</v>
      </c>
      <c r="F108" s="3303">
        <v>20</v>
      </c>
    </row>
    <row r="109" spans="1:6" ht="24">
      <c r="A109" s="3303">
        <v>37</v>
      </c>
      <c r="B109" s="3717"/>
      <c r="C109" s="3303" t="s">
        <v>2955</v>
      </c>
      <c r="D109" s="3284" t="s">
        <v>2956</v>
      </c>
      <c r="E109" s="3309">
        <v>0.15</v>
      </c>
      <c r="F109" s="3303">
        <v>20</v>
      </c>
    </row>
    <row r="110" spans="1:6" ht="13.5">
      <c r="A110" s="3303">
        <v>38</v>
      </c>
      <c r="B110" s="3717"/>
      <c r="C110" s="3303" t="s">
        <v>2957</v>
      </c>
      <c r="D110" s="3284" t="s">
        <v>2958</v>
      </c>
      <c r="E110" s="3309">
        <v>0.1</v>
      </c>
      <c r="F110" s="3303">
        <v>15</v>
      </c>
    </row>
    <row r="111" spans="1:6" ht="24">
      <c r="A111" s="3303">
        <v>39</v>
      </c>
      <c r="B111" s="3717"/>
      <c r="C111" s="3303" t="s">
        <v>2959</v>
      </c>
      <c r="D111" s="3284" t="s">
        <v>2960</v>
      </c>
      <c r="E111" s="3309">
        <v>0.1</v>
      </c>
      <c r="F111" s="3303">
        <v>15</v>
      </c>
    </row>
    <row r="112" spans="1:6" ht="24">
      <c r="A112" s="3303">
        <v>40</v>
      </c>
      <c r="B112" s="3718"/>
      <c r="C112" s="3303" t="s">
        <v>2961</v>
      </c>
      <c r="D112" s="3284" t="s">
        <v>2962</v>
      </c>
      <c r="E112" s="3309">
        <v>0.1</v>
      </c>
      <c r="F112" s="3303">
        <v>15</v>
      </c>
    </row>
    <row r="113" spans="1:6" ht="24">
      <c r="A113" s="3303">
        <v>41</v>
      </c>
      <c r="B113" s="3727" t="s">
        <v>2963</v>
      </c>
      <c r="C113" s="3303" t="s">
        <v>2964</v>
      </c>
      <c r="D113" s="3284" t="s">
        <v>2965</v>
      </c>
      <c r="E113" s="3309">
        <v>0.1</v>
      </c>
      <c r="F113" s="3303">
        <v>15</v>
      </c>
    </row>
    <row r="114" spans="1:6" ht="13.5">
      <c r="A114" s="3303">
        <v>42</v>
      </c>
      <c r="B114" s="3727"/>
      <c r="C114" s="3303" t="s">
        <v>2966</v>
      </c>
      <c r="D114" s="3284" t="s">
        <v>2967</v>
      </c>
      <c r="E114" s="3309">
        <v>0.1</v>
      </c>
      <c r="F114" s="3303">
        <v>15</v>
      </c>
    </row>
    <row r="115" spans="1:6" ht="24">
      <c r="A115" s="3303">
        <v>43</v>
      </c>
      <c r="B115" s="3727"/>
      <c r="C115" s="3303" t="s">
        <v>2968</v>
      </c>
      <c r="D115" s="3284" t="s">
        <v>2969</v>
      </c>
      <c r="E115" s="3309">
        <v>0.1</v>
      </c>
      <c r="F115" s="3303">
        <v>15</v>
      </c>
    </row>
    <row r="116" spans="1:6" ht="24">
      <c r="A116" s="3303">
        <v>44</v>
      </c>
      <c r="B116" s="3716" t="s">
        <v>2970</v>
      </c>
      <c r="C116" s="3303" t="s">
        <v>2971</v>
      </c>
      <c r="D116" s="3284" t="s">
        <v>2972</v>
      </c>
      <c r="E116" s="3309">
        <v>0.1</v>
      </c>
      <c r="F116" s="3303">
        <v>15</v>
      </c>
    </row>
    <row r="117" spans="1:6" ht="24">
      <c r="A117" s="3303">
        <v>45</v>
      </c>
      <c r="B117" s="3718"/>
      <c r="C117" s="3284" t="s">
        <v>2973</v>
      </c>
      <c r="D117" s="3284" t="s">
        <v>2974</v>
      </c>
      <c r="E117" s="3309">
        <v>0.1</v>
      </c>
      <c r="F117" s="3303">
        <v>15</v>
      </c>
    </row>
    <row r="118" spans="1:6" ht="24">
      <c r="A118" s="3303">
        <v>46</v>
      </c>
      <c r="B118" s="3716" t="s">
        <v>2975</v>
      </c>
      <c r="C118" s="3303" t="s">
        <v>2976</v>
      </c>
      <c r="D118" s="3284" t="s">
        <v>2977</v>
      </c>
      <c r="E118" s="3309">
        <v>0.1</v>
      </c>
      <c r="F118" s="3303">
        <v>15</v>
      </c>
    </row>
    <row r="119" spans="1:6" ht="24">
      <c r="A119" s="3303">
        <v>47</v>
      </c>
      <c r="B119" s="3718"/>
      <c r="C119" s="3303" t="s">
        <v>2978</v>
      </c>
      <c r="D119" s="3284" t="s">
        <v>2979</v>
      </c>
      <c r="E119" s="3309">
        <v>0.1</v>
      </c>
      <c r="F119" s="3303">
        <v>15</v>
      </c>
    </row>
    <row r="120" spans="1:6" ht="24">
      <c r="A120" s="3303">
        <v>48</v>
      </c>
      <c r="B120" s="3716" t="s">
        <v>2980</v>
      </c>
      <c r="C120" s="3303" t="s">
        <v>2981</v>
      </c>
      <c r="D120" s="3284" t="s">
        <v>2982</v>
      </c>
      <c r="E120" s="3309">
        <v>0.1</v>
      </c>
      <c r="F120" s="3303">
        <v>15</v>
      </c>
    </row>
    <row r="121" spans="1:6" ht="13.5">
      <c r="A121" s="3303">
        <v>49</v>
      </c>
      <c r="B121" s="3718"/>
      <c r="C121" s="3303" t="s">
        <v>2983</v>
      </c>
      <c r="D121" s="3284" t="s">
        <v>2984</v>
      </c>
      <c r="E121" s="3309">
        <v>0.1</v>
      </c>
      <c r="F121" s="3303">
        <v>15</v>
      </c>
    </row>
    <row r="122" spans="1:6" ht="24">
      <c r="A122" s="3303">
        <v>50</v>
      </c>
      <c r="B122" s="3727" t="s">
        <v>2985</v>
      </c>
      <c r="C122" s="3303" t="s">
        <v>2986</v>
      </c>
      <c r="D122" s="3284" t="s">
        <v>2987</v>
      </c>
      <c r="E122" s="3309">
        <v>0.1</v>
      </c>
      <c r="F122" s="3303">
        <v>15</v>
      </c>
    </row>
    <row r="123" spans="1:6" ht="24">
      <c r="A123" s="3303">
        <v>51</v>
      </c>
      <c r="B123" s="3727"/>
      <c r="C123" s="3303" t="s">
        <v>2988</v>
      </c>
      <c r="D123" s="3284" t="s">
        <v>2989</v>
      </c>
      <c r="E123" s="3309">
        <v>0.1</v>
      </c>
      <c r="F123" s="3303">
        <v>15</v>
      </c>
    </row>
    <row r="124" spans="1:6" ht="24">
      <c r="A124" s="3303">
        <v>52</v>
      </c>
      <c r="B124" s="3727" t="s">
        <v>2990</v>
      </c>
      <c r="C124" s="3303" t="s">
        <v>2991</v>
      </c>
      <c r="D124" s="3284" t="s">
        <v>2992</v>
      </c>
      <c r="E124" s="3309">
        <v>0.1</v>
      </c>
      <c r="F124" s="3303">
        <v>15</v>
      </c>
    </row>
    <row r="125" spans="1:6" ht="24">
      <c r="A125" s="3303">
        <v>53</v>
      </c>
      <c r="B125" s="3727"/>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27" t="s">
        <v>2998</v>
      </c>
      <c r="C127" s="3303" t="s">
        <v>2999</v>
      </c>
      <c r="D127" s="3284" t="s">
        <v>3000</v>
      </c>
      <c r="E127" s="3309">
        <v>0.1</v>
      </c>
      <c r="F127" s="3303">
        <v>15</v>
      </c>
    </row>
    <row r="128" spans="1:6" ht="13.5">
      <c r="A128" s="3303">
        <v>56</v>
      </c>
      <c r="B128" s="3727"/>
      <c r="C128" s="3303" t="s">
        <v>3001</v>
      </c>
      <c r="D128" s="3284" t="s">
        <v>3002</v>
      </c>
      <c r="E128" s="3309">
        <v>0.1</v>
      </c>
      <c r="F128" s="3303">
        <v>15</v>
      </c>
    </row>
    <row r="129" spans="1:6" ht="24">
      <c r="A129" s="3303">
        <v>57</v>
      </c>
      <c r="B129" s="3727"/>
      <c r="C129" s="3303" t="s">
        <v>3003</v>
      </c>
      <c r="D129" s="3284" t="s">
        <v>3004</v>
      </c>
      <c r="E129" s="3309">
        <v>0.1</v>
      </c>
      <c r="F129" s="3303">
        <v>15</v>
      </c>
    </row>
    <row r="130" spans="1:6" ht="24">
      <c r="A130" s="3303">
        <v>58</v>
      </c>
      <c r="B130" s="3727" t="s">
        <v>3005</v>
      </c>
      <c r="C130" s="3303" t="s">
        <v>3006</v>
      </c>
      <c r="D130" s="3284" t="s">
        <v>3007</v>
      </c>
      <c r="E130" s="3309">
        <v>0.1</v>
      </c>
      <c r="F130" s="3303">
        <v>15</v>
      </c>
    </row>
    <row r="131" spans="1:6" ht="24">
      <c r="A131" s="3303">
        <v>59</v>
      </c>
      <c r="B131" s="3727"/>
      <c r="C131" s="3303" t="s">
        <v>3008</v>
      </c>
      <c r="D131" s="3284" t="s">
        <v>3009</v>
      </c>
      <c r="E131" s="3309">
        <v>0.1</v>
      </c>
      <c r="F131" s="3303">
        <v>15</v>
      </c>
    </row>
    <row r="132" spans="1:6" ht="24">
      <c r="A132" s="3303">
        <v>60</v>
      </c>
      <c r="B132" s="3716" t="s">
        <v>3010</v>
      </c>
      <c r="C132" s="3303" t="s">
        <v>3011</v>
      </c>
      <c r="D132" s="3284" t="s">
        <v>3012</v>
      </c>
      <c r="E132" s="3309">
        <v>0.1</v>
      </c>
      <c r="F132" s="3303">
        <v>15</v>
      </c>
    </row>
    <row r="133" spans="1:6" ht="24">
      <c r="A133" s="3303">
        <v>61</v>
      </c>
      <c r="B133" s="3718"/>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27" t="s">
        <v>3018</v>
      </c>
      <c r="C135" s="3303" t="s">
        <v>3019</v>
      </c>
      <c r="D135" s="3284" t="s">
        <v>3020</v>
      </c>
      <c r="E135" s="3309">
        <v>0.1</v>
      </c>
      <c r="F135" s="3303">
        <v>15</v>
      </c>
    </row>
    <row r="136" spans="1:6" ht="13.5">
      <c r="A136" s="3303">
        <v>64</v>
      </c>
      <c r="B136" s="3727"/>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2798</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2797</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2796</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2795</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44676</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2641</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5"/>
  <sheetViews>
    <sheetView workbookViewId="0">
      <selection activeCell="L52" sqref="L52"/>
    </sheetView>
  </sheetViews>
  <sheetFormatPr defaultRowHeight="13.5"/>
  <cols>
    <col min="4" max="4" width="13" bestFit="1" customWidth="1"/>
  </cols>
  <sheetData>
    <row r="3" spans="2:8">
      <c r="B3" s="1269" t="s">
        <v>3039</v>
      </c>
      <c r="C3" s="1269" t="s">
        <v>3040</v>
      </c>
      <c r="D3" s="1269" t="s">
        <v>3041</v>
      </c>
      <c r="E3" s="1269" t="s">
        <v>3042</v>
      </c>
    </row>
    <row r="4" spans="2:8">
      <c r="B4" s="1269" t="s">
        <v>3037</v>
      </c>
      <c r="C4">
        <v>176.29</v>
      </c>
      <c r="D4">
        <v>43.2</v>
      </c>
      <c r="E4">
        <f>ROUND(C4/D4,2)</f>
        <v>4.08</v>
      </c>
      <c r="G4">
        <v>30000</v>
      </c>
      <c r="H4">
        <f>ROUND(G4*C4/10000,0)</f>
        <v>529</v>
      </c>
    </row>
    <row r="5" spans="2:8">
      <c r="B5" s="1269" t="s">
        <v>3038</v>
      </c>
      <c r="C5">
        <v>88.15</v>
      </c>
      <c r="D5">
        <f>ROUND(C5/E4,2)</f>
        <v>21.61</v>
      </c>
      <c r="G5">
        <f>G4</f>
        <v>30000</v>
      </c>
      <c r="H5">
        <f>ROUND(G5*C5/10000,0)</f>
        <v>264</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4:F166"/>
  <sheetViews>
    <sheetView topLeftCell="A130" workbookViewId="0">
      <selection activeCell="L52" sqref="L52"/>
    </sheetView>
  </sheetViews>
  <sheetFormatPr defaultRowHeight="13.5"/>
  <sheetData>
    <row r="144" spans="4:6">
      <c r="D144" s="1269" t="s">
        <v>3049</v>
      </c>
      <c r="E144" s="1269" t="s">
        <v>3050</v>
      </c>
      <c r="F144" s="1269" t="s">
        <v>3051</v>
      </c>
    </row>
    <row r="145" spans="3:6">
      <c r="C145" s="1269" t="s">
        <v>3048</v>
      </c>
      <c r="D145">
        <v>460</v>
      </c>
      <c r="E145" s="1269" t="s">
        <v>3060</v>
      </c>
      <c r="F145">
        <v>28000</v>
      </c>
    </row>
    <row r="146" spans="3:6">
      <c r="C146" t="str">
        <f>C145</f>
        <v>科技财富中心</v>
      </c>
      <c r="D146">
        <v>1786</v>
      </c>
      <c r="E146" s="1269" t="s">
        <v>3052</v>
      </c>
      <c r="F146">
        <v>30000</v>
      </c>
    </row>
    <row r="147" spans="3:6">
      <c r="C147" t="str">
        <f>C145</f>
        <v>科技财富中心</v>
      </c>
      <c r="D147">
        <v>280</v>
      </c>
      <c r="E147" s="1269" t="s">
        <v>3053</v>
      </c>
      <c r="F147">
        <v>30000</v>
      </c>
    </row>
    <row r="148" spans="3:6">
      <c r="C148" s="1269" t="s">
        <v>3061</v>
      </c>
      <c r="D148">
        <v>400</v>
      </c>
      <c r="E148" s="1269" t="s">
        <v>3052</v>
      </c>
      <c r="F148">
        <v>33000</v>
      </c>
    </row>
    <row r="149" spans="3:6">
      <c r="C149" t="str">
        <f>C148</f>
        <v>金码大厦</v>
      </c>
      <c r="D149">
        <v>251</v>
      </c>
      <c r="E149" s="1269" t="s">
        <v>3052</v>
      </c>
      <c r="F149">
        <v>33100</v>
      </c>
    </row>
    <row r="150" spans="3:6">
      <c r="E150" s="1269"/>
    </row>
    <row r="151" spans="3:6">
      <c r="C151" s="3326"/>
      <c r="D151" s="3329"/>
    </row>
    <row r="152" spans="3:6">
      <c r="D152" s="3329"/>
    </row>
    <row r="153" spans="3:6">
      <c r="D153" s="3329"/>
    </row>
    <row r="154" spans="3:6">
      <c r="D154" s="3329"/>
    </row>
    <row r="155" spans="3:6">
      <c r="D155" s="3329"/>
    </row>
    <row r="156" spans="3:6">
      <c r="D156" s="3329"/>
    </row>
    <row r="157" spans="3:6">
      <c r="D157" s="3329"/>
    </row>
    <row r="158" spans="3:6">
      <c r="D158" s="3329"/>
    </row>
    <row r="159" spans="3:6">
      <c r="D159" s="3329"/>
    </row>
    <row r="160" spans="3:6">
      <c r="D160" s="3329"/>
    </row>
    <row r="161" spans="4:4">
      <c r="D161" s="3329"/>
    </row>
    <row r="162" spans="4:4">
      <c r="D162" s="3329"/>
    </row>
    <row r="163" spans="4:4">
      <c r="D163" s="3329"/>
    </row>
    <row r="164" spans="4:4">
      <c r="D164" s="3329"/>
    </row>
    <row r="165" spans="4:4">
      <c r="D165" s="3329"/>
    </row>
    <row r="166" spans="4:4">
      <c r="D166" s="3329"/>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spans="1:5" ht="13.5" customHeight="1">
      <c r="A3" s="1290"/>
      <c r="B3" s="1290"/>
      <c r="C3" s="1290"/>
      <c r="D3" s="1290"/>
      <c r="E3" s="1290"/>
    </row>
    <row r="4" spans="1:5" ht="19.5" thickBot="1">
      <c r="A4" s="3351" t="str">
        <f>IF(项目基本情况!D5="房地产市场价值","估价结果一览表（市场价值不需本页表格)","估价结果一览表")</f>
        <v>估价结果一览表</v>
      </c>
      <c r="B4" s="3351"/>
      <c r="C4" s="3351"/>
      <c r="D4" s="3351"/>
      <c r="E4" s="3351"/>
    </row>
    <row r="5" spans="1:5" ht="14.25" customHeight="1" thickTop="1">
      <c r="A5" s="1287"/>
      <c r="B5" s="1291" t="s">
        <v>562</v>
      </c>
      <c r="C5" s="3352" t="s">
        <v>593</v>
      </c>
      <c r="D5" s="3353"/>
      <c r="E5" s="1287"/>
    </row>
    <row r="6" spans="1:5" ht="14.25">
      <c r="A6" s="1287"/>
      <c r="B6" s="1292" t="str">
        <f>项目基本情况!I1</f>
        <v>北京市房地产</v>
      </c>
      <c r="C6" s="3354">
        <f>项目基本情况!C12</f>
        <v>176.29</v>
      </c>
      <c r="D6" s="3354"/>
      <c r="E6" s="1287"/>
    </row>
    <row r="7" spans="1:5" ht="14.25">
      <c r="A7" s="1287"/>
      <c r="B7" s="3348" t="s">
        <v>594</v>
      </c>
      <c r="C7" s="1293" t="str">
        <f>IF('数据-取费表'!B3="万元","总价（万元）","总价（元）")</f>
        <v>总价（万元）</v>
      </c>
      <c r="D7" s="1294">
        <f ca="1">IF('数据-取费表'!E3="否",结果表!I102,'结果表 (1修多)'!I104)</f>
        <v>572</v>
      </c>
      <c r="E7" s="1287"/>
    </row>
    <row r="8" spans="1:5" ht="14.25">
      <c r="A8" s="1287"/>
      <c r="B8" s="3348"/>
      <c r="C8" s="1295" t="s">
        <v>924</v>
      </c>
      <c r="D8" s="1296" t="str">
        <f ca="1">IF('数据-取费表'!B3="万元",NUMBERSTRING(INT(D7*10000),2)&amp;"元整",NUMBERSTRING(INT(D7),2)&amp;"元整")</f>
        <v>伍佰柒拾贰万元整</v>
      </c>
      <c r="E8" s="1287"/>
    </row>
    <row r="9" spans="1:5" ht="14.25">
      <c r="A9" s="1287"/>
      <c r="B9" s="3348"/>
      <c r="C9" s="1297" t="s">
        <v>1020</v>
      </c>
      <c r="D9" s="1294">
        <f ca="1">IF('数据-取费表'!E3="否",结果表!I103,'结果表 (1修多)'!I105)</f>
        <v>32447</v>
      </c>
      <c r="E9" s="1287"/>
    </row>
    <row r="10" spans="1:5" ht="14.25">
      <c r="A10" s="1287"/>
      <c r="B10" s="335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5"/>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5" t="str">
        <f>IF('数据-取费表'!E3="否",结果表!F110,'结果表 (1修多)'!F112)</f>
        <v>3.房地产抵押价值</v>
      </c>
      <c r="C15" s="1288" t="str">
        <f>C7</f>
        <v>总价（万元）</v>
      </c>
      <c r="D15" s="1294">
        <f ca="1">IF('数据-取费表'!E3="否",结果表!I110,'结果表 (1修多)'!I112)</f>
        <v>572</v>
      </c>
      <c r="E15" s="1287"/>
    </row>
    <row r="16" spans="1:5" ht="14.25">
      <c r="A16" s="1287"/>
      <c r="B16" s="3355"/>
      <c r="C16" s="1295" t="s">
        <v>924</v>
      </c>
      <c r="D16" s="1294" t="str">
        <f ca="1">IF('数据-取费表'!B3="万元",NUMBERSTRING(INT(D15*10000),2)&amp;"元整",NUMBERSTRING(INT(D15),2)&amp;"元整")</f>
        <v>伍佰柒拾贰万元整</v>
      </c>
      <c r="E16" s="1287"/>
    </row>
    <row r="17" spans="1:5" ht="14.25">
      <c r="A17" s="1287"/>
      <c r="B17" s="3355"/>
      <c r="C17" s="1297" t="s">
        <v>1020</v>
      </c>
      <c r="D17" s="1294">
        <f ca="1">IF('数据-取费表'!E3="否",结果表!I111,'结果表 (1修多)'!I113)</f>
        <v>32447</v>
      </c>
      <c r="E17" s="1287"/>
    </row>
    <row r="18" spans="1:5" ht="14.25">
      <c r="A18" s="1287"/>
      <c r="B18" s="3355" t="str">
        <f>IF('数据-取费表'!E3="否",结果表!F112,'结果表 (1修多)'!F114)</f>
        <v>——</v>
      </c>
      <c r="C18" s="1288" t="str">
        <f>C7</f>
        <v>总价（万元）</v>
      </c>
      <c r="D18" s="1294" t="str">
        <f>IF('数据-取费表'!E3="否",结果表!I112,'结果表 (1修多)'!I114)</f>
        <v>——</v>
      </c>
      <c r="E18" s="1287"/>
    </row>
    <row r="19" spans="1:5" ht="14.25">
      <c r="A19" s="1287"/>
      <c r="B19" s="3355"/>
      <c r="C19" s="1295" t="s">
        <v>924</v>
      </c>
      <c r="D19" s="1294" t="e">
        <f>IF('数据-取费表'!B3="万元",NUMBERSTRING(INT(D18*10000),2)&amp;"元整",NUMBERSTRING(INT(D18),2)&amp;"元整")</f>
        <v>#VALUE!</v>
      </c>
      <c r="E19" s="1287"/>
    </row>
    <row r="20" spans="1:5" ht="14.25">
      <c r="A20" s="1287"/>
      <c r="B20" s="3355"/>
      <c r="C20" s="1297" t="s">
        <v>1020</v>
      </c>
      <c r="D20" s="1294" t="str">
        <f>IF('数据-取费表'!E3="否",结果表!I113,'结果表 (1修多)'!I115)</f>
        <v>——</v>
      </c>
      <c r="E20" s="1287"/>
    </row>
    <row r="21" spans="1:5" ht="14.25">
      <c r="A21" s="1287"/>
      <c r="B21" s="3348" t="str">
        <f>IF('数据-取费表'!E3="否",结果表!F114,'结果表 (1修多)'!F116)</f>
        <v>——</v>
      </c>
      <c r="C21" s="1293" t="str">
        <f>C7</f>
        <v>总价（万元）</v>
      </c>
      <c r="D21" s="1294" t="str">
        <f>IF('数据-取费表'!E3="否",结果表!I114,'结果表 (1修多)'!I116)</f>
        <v>——</v>
      </c>
      <c r="E21" s="1287"/>
    </row>
    <row r="22" spans="1:5" ht="14.25">
      <c r="A22" s="1287"/>
      <c r="B22" s="3348"/>
      <c r="C22" s="1295" t="s">
        <v>924</v>
      </c>
      <c r="D22" s="1296" t="e">
        <f>IF('数据-取费表'!B3="万元",NUMBERSTRING(INT(D21*10000),2)&amp;"元整",NUMBERSTRING(INT(D21),2)&amp;"元整")</f>
        <v>#VALUE!</v>
      </c>
      <c r="E22" s="1287"/>
    </row>
    <row r="23" spans="1:5" ht="15" thickBot="1">
      <c r="A23" s="1287"/>
      <c r="B23" s="3349"/>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572</v>
      </c>
      <c r="E28" s="1287"/>
    </row>
    <row r="29" spans="1:5" ht="14.25">
      <c r="A29" s="1287"/>
      <c r="B29" s="3334"/>
      <c r="C29" s="1306" t="s">
        <v>924</v>
      </c>
      <c r="D29" s="1307" t="str">
        <f ca="1">IF('数据-取费表'!B3="万元",NUMBERSTRING(INT(D28*10000),2)&amp;"元整",NUMBERSTRING(INT(D28),2)&amp;"元整")</f>
        <v>伍佰柒拾贰万元整</v>
      </c>
      <c r="E29" s="1287"/>
    </row>
    <row r="30" spans="1:5" ht="14.25">
      <c r="A30" s="1287"/>
      <c r="B30" s="3335"/>
      <c r="C30" s="1297" t="s">
        <v>927</v>
      </c>
      <c r="D30" s="1308">
        <f ca="1">IF('数据-取费表'!E3="否",结果表!I103,'结果表 (1修多)'!I105)</f>
        <v>32447</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 ca="1">IF('数据-取费表'!E3="否",结果表!I110,'结果表 (1修多)'!I112)</f>
        <v>572</v>
      </c>
      <c r="E36" s="1287"/>
    </row>
    <row r="37" spans="1:5" ht="14.25">
      <c r="A37" s="1287"/>
      <c r="B37" s="3336"/>
      <c r="C37" s="1306" t="s">
        <v>924</v>
      </c>
      <c r="D37" s="1311" t="str">
        <f ca="1">IF('数据-取费表'!B3="万元",NUMBERSTRING(INT(D36*10000),2)&amp;"元整",NUMBERSTRING(INT(D36),2)&amp;"元整")</f>
        <v>伍佰柒拾贰万元整</v>
      </c>
      <c r="E37" s="1287"/>
    </row>
    <row r="38" spans="1:5" ht="14.25">
      <c r="A38" s="1287"/>
      <c r="B38" s="3336"/>
      <c r="C38" s="1297" t="s">
        <v>928</v>
      </c>
      <c r="D38" s="1308">
        <f ca="1">IF('数据-取费表'!E3="否",结果表!D113,'结果表 (1修多)'!D117)</f>
        <v>32447</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2" t="str">
        <f>IF(项目基本情况!D5="房地产市场价值","估价结果一览表","结果表-2")</f>
        <v>结果表-2</v>
      </c>
      <c r="B1" s="3362"/>
      <c r="C1" s="3362"/>
      <c r="D1" s="3362"/>
      <c r="E1" s="3362"/>
      <c r="F1" s="3362"/>
      <c r="G1" s="3362"/>
      <c r="H1" s="3362"/>
      <c r="I1" s="3362"/>
    </row>
    <row r="2" spans="1:9" ht="30" customHeight="1" thickTop="1">
      <c r="A2" s="3363" t="s">
        <v>1022</v>
      </c>
      <c r="B2" s="3363" t="s">
        <v>1023</v>
      </c>
      <c r="C2" s="3363" t="s">
        <v>1024</v>
      </c>
      <c r="D2" s="3363" t="str">
        <f>IF('数据-取费表'!E3="否",结果表!D119,'结果表 (1修多)'!D123)</f>
        <v>出让国有建设用地使用权价值</v>
      </c>
      <c r="E2" s="3363"/>
      <c r="F2" s="3363" t="s">
        <v>1025</v>
      </c>
      <c r="G2" s="3363"/>
      <c r="H2" s="3363" t="s">
        <v>1026</v>
      </c>
      <c r="I2" s="3363"/>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北京市房地产</v>
      </c>
      <c r="B4" s="776">
        <f>结果表!B121</f>
        <v>176.29</v>
      </c>
      <c r="C4" s="776">
        <f>结果表!C121</f>
        <v>43.2</v>
      </c>
      <c r="D4" s="776">
        <f ca="1">IF('数据-取费表'!E3="否",结果表!D121,'结果表 (1修多)'!D125)</f>
        <v>495</v>
      </c>
      <c r="E4" s="776">
        <f ca="1">IF('数据-取费表'!E3="否",结果表!E121,'结果表 (1修多)'!E125)</f>
        <v>28079</v>
      </c>
      <c r="F4" s="776">
        <f ca="1">IF('数据-取费表'!E3="否",结果表!F121,'结果表 (1修多)'!F125)</f>
        <v>77</v>
      </c>
      <c r="G4" s="776">
        <f ca="1">IF('数据-取费表'!E3="否",结果表!G121,'结果表 (1修多)'!G125)</f>
        <v>4368</v>
      </c>
      <c r="H4" s="776">
        <f ca="1">IF('数据-取费表'!E3="否",结果表!H121,'结果表 (1修多)'!H125)</f>
        <v>572</v>
      </c>
      <c r="I4" s="776">
        <f ca="1">IF('数据-取费表'!E3="否",结果表!I121,'结果表 (1修多)'!I125)</f>
        <v>32447</v>
      </c>
    </row>
    <row r="5" spans="1:9" ht="15">
      <c r="A5" s="3356" t="s">
        <v>1030</v>
      </c>
      <c r="B5" s="3356"/>
      <c r="C5" s="3356"/>
      <c r="D5" s="3357" t="str">
        <f ca="1">IF('数据-取费表'!E3="否",结果表!D122,'结果表 (1修多)'!D126)</f>
        <v>肆佰玖拾伍万元整</v>
      </c>
      <c r="E5" s="3357"/>
      <c r="F5" s="3357" t="str">
        <f ca="1">IF('数据-取费表'!E3="否",结果表!F122,'结果表 (1修多)'!F126)</f>
        <v>柒拾柒万元整</v>
      </c>
      <c r="G5" s="3357"/>
      <c r="H5" s="3357" t="str">
        <f ca="1">IF('数据-取费表'!E3="否",结果表!H122,'结果表 (1修多)'!H126)</f>
        <v>伍佰柒拾贰万元整</v>
      </c>
      <c r="I5" s="3357"/>
    </row>
    <row r="6" spans="1:9" ht="15.75">
      <c r="A6" s="3358" t="str">
        <f>IF('数据-取费表'!E3="否",结果表!A123,'结果表 (1修多)'!A127)</f>
        <v>估价师所知悉的法定优先受偿款</v>
      </c>
      <c r="B6" s="3358"/>
      <c r="C6" s="3358"/>
      <c r="D6" s="3358">
        <f>IF('数据-取费表'!E3="否",结果表!D123,'结果表 (1修多)'!D127)</f>
        <v>0</v>
      </c>
      <c r="E6" s="3358"/>
      <c r="F6" s="3358"/>
      <c r="G6" s="3358"/>
      <c r="H6" s="3358"/>
      <c r="I6" s="3358"/>
    </row>
    <row r="7" spans="1:9" ht="15">
      <c r="A7" s="3356" t="s">
        <v>1030</v>
      </c>
      <c r="B7" s="3356"/>
      <c r="C7" s="3356"/>
      <c r="D7" s="3364">
        <f>IF('数据-取费表'!E3="否",结果表!D124,'结果表 (1修多)'!D128)</f>
        <v>0</v>
      </c>
      <c r="E7" s="3365"/>
      <c r="F7" s="3365"/>
      <c r="G7" s="3365"/>
      <c r="H7" s="3365"/>
      <c r="I7" s="3366"/>
    </row>
    <row r="8" spans="1:9" ht="15.75">
      <c r="A8" s="3358" t="str">
        <f>IF('数据-取费表'!E3="否",结果表!A125,'结果表 (1修多)'!A129)</f>
        <v>房地产抵押价值</v>
      </c>
      <c r="B8" s="3358"/>
      <c r="C8" s="3358"/>
      <c r="D8" s="3358">
        <f ca="1">IF('数据-取费表'!E3="否",结果表!D125,'结果表 (1修多)'!D129)</f>
        <v>572</v>
      </c>
      <c r="E8" s="3358"/>
      <c r="F8" s="3358"/>
      <c r="G8" s="3358"/>
      <c r="H8" s="3358"/>
      <c r="I8" s="3358"/>
    </row>
    <row r="9" spans="1:9" ht="15">
      <c r="A9" s="3356" t="s">
        <v>1030</v>
      </c>
      <c r="B9" s="3356"/>
      <c r="C9" s="3356"/>
      <c r="D9" s="3357">
        <f ca="1">IF('数据-取费表'!E3="否",结果表!D126,'结果表 (1修多)'!D130)</f>
        <v>32447</v>
      </c>
      <c r="E9" s="3357"/>
      <c r="F9" s="3357"/>
      <c r="G9" s="3357"/>
      <c r="H9" s="3357"/>
      <c r="I9" s="3357"/>
    </row>
    <row r="10" spans="1:9" ht="15.75">
      <c r="A10" s="3358" t="str">
        <f>IF('数据-取费表'!E3="否",结果表!A127,'结果表 (1修多)'!A131)</f>
        <v/>
      </c>
      <c r="B10" s="3358"/>
      <c r="C10" s="3358"/>
      <c r="D10" s="3358" t="str">
        <f>IF('数据-取费表'!E3="否",结果表!D127,'结果表 (1修多)'!D130)</f>
        <v>——</v>
      </c>
      <c r="E10" s="3358"/>
      <c r="F10" s="3358"/>
      <c r="G10" s="3358"/>
      <c r="H10" s="3358"/>
      <c r="I10" s="3358"/>
    </row>
    <row r="11" spans="1:9" ht="15">
      <c r="A11" s="3356" t="s">
        <v>1030</v>
      </c>
      <c r="B11" s="3356"/>
      <c r="C11" s="3356"/>
      <c r="D11" s="3357" t="str">
        <f>IF('数据-取费表'!E3="否",结果表!D128,'结果表 (1修多)'!D132)</f>
        <v>——</v>
      </c>
      <c r="E11" s="3357"/>
      <c r="F11" s="3357"/>
      <c r="G11" s="3357"/>
      <c r="H11" s="3357"/>
      <c r="I11" s="3357"/>
    </row>
    <row r="12" spans="1:9" ht="15.75">
      <c r="A12" s="3358" t="str">
        <f>IF('数据-取费表'!E3="否",结果表!A129,'结果表 (1修多)'!A133)</f>
        <v/>
      </c>
      <c r="B12" s="3358"/>
      <c r="C12" s="3358"/>
      <c r="D12" s="3358" t="str">
        <f>IF('数据-取费表'!E3="否",结果表!D129,'结果表 (1修多)'!D133)</f>
        <v>——</v>
      </c>
      <c r="E12" s="3358"/>
      <c r="F12" s="3358"/>
      <c r="G12" s="3358"/>
      <c r="H12" s="3358"/>
      <c r="I12" s="3358"/>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单位：平方米、万元、元/平方米（币种：人民币）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8" t="s">
        <v>1043</v>
      </c>
      <c r="B1" s="3368"/>
      <c r="C1" s="3368"/>
      <c r="D1" s="3368"/>
    </row>
    <row r="2" spans="1:4" ht="18">
      <c r="A2" s="3367" t="s">
        <v>1032</v>
      </c>
      <c r="B2" s="3367"/>
      <c r="C2" s="3367"/>
      <c r="D2" s="3367"/>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7" t="s">
        <v>1037</v>
      </c>
      <c r="B7" s="3367"/>
      <c r="C7" s="3367"/>
      <c r="D7" s="336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9" t="s">
        <v>2495</v>
      </c>
      <c r="B12" s="3370"/>
      <c r="C12" s="3370"/>
      <c r="D12" s="3370"/>
    </row>
    <row r="13" spans="1:4" ht="15.75">
      <c r="A13" s="33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0"/>
      <c r="C13" s="3370"/>
      <c r="D13" s="3370"/>
    </row>
    <row r="14" spans="1:4" ht="30" customHeight="1">
      <c r="A14" s="336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0"/>
      <c r="C14" s="3370"/>
      <c r="D14" s="3370"/>
    </row>
    <row r="15" spans="1:4" ht="15.75" customHeight="1">
      <c r="A15" s="3369" t="str">
        <f>IF(项目基本情况!D4="抵押","4.本次评估估价师所知悉的法定优先受偿款情况说明如下：","——")</f>
        <v>4.本次评估估价师所知悉的法定优先受偿款情况说明如下：</v>
      </c>
      <c r="B15" s="3370"/>
      <c r="C15" s="3370"/>
      <c r="D15" s="3370"/>
    </row>
    <row r="16" spans="1:4" ht="75" customHeight="1">
      <c r="A16" s="336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9"/>
      <c r="C16" s="3369"/>
      <c r="D16" s="3369"/>
    </row>
    <row r="17" spans="1:4" ht="63.75" customHeight="1">
      <c r="A17" s="3371" t="s">
        <v>1045</v>
      </c>
      <c r="B17" s="3371"/>
      <c r="C17" s="3371"/>
      <c r="D17" s="3371"/>
    </row>
    <row r="18" spans="1:4" ht="15.75" customHeight="1">
      <c r="A18" s="3369" t="str">
        <f>IF(项目基本情况!D4="抵押",结果表!L106,"——")</f>
        <v>本次评估不存在估价师所知悉的法定优先受偿款。</v>
      </c>
      <c r="B18" s="3369"/>
      <c r="C18" s="3369"/>
      <c r="D18" s="3369"/>
    </row>
    <row r="19" spans="1:4" ht="46.5" customHeight="1">
      <c r="A19" s="33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15">
      <c r="A20" s="3371" t="s">
        <v>2496</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7" t="s">
        <v>1124</v>
      </c>
      <c r="B15" s="3372" t="s">
        <v>1125</v>
      </c>
      <c r="C15" s="3373"/>
    </row>
    <row r="16" spans="1:7" ht="14.25">
      <c r="A16" s="3378"/>
      <c r="B16" s="3372" t="s">
        <v>1126</v>
      </c>
      <c r="C16" s="3373"/>
    </row>
    <row r="17" spans="1:3" ht="14.25">
      <c r="A17" s="3378"/>
      <c r="B17" s="3372" t="s">
        <v>1127</v>
      </c>
      <c r="C17" s="3373"/>
    </row>
    <row r="18" spans="1:3" ht="14.25">
      <c r="A18" s="3379"/>
      <c r="B18" s="3374" t="s">
        <v>1128</v>
      </c>
      <c r="C18" s="3373"/>
    </row>
    <row r="19" spans="1:3" ht="14.25">
      <c r="A19" s="1340" t="s">
        <v>1129</v>
      </c>
      <c r="B19" s="1341"/>
      <c r="C19" s="1342"/>
    </row>
    <row r="20" spans="1:3" ht="14.25">
      <c r="A20" s="3375" t="s">
        <v>1130</v>
      </c>
      <c r="B20" s="3374" t="s">
        <v>1131</v>
      </c>
      <c r="C20" s="3373"/>
    </row>
    <row r="21" spans="1:3" ht="14.25">
      <c r="A21" s="3375"/>
      <c r="B21" s="3374" t="s">
        <v>1132</v>
      </c>
      <c r="C21" s="3373"/>
    </row>
    <row r="22" spans="1:3" ht="14.25">
      <c r="A22" s="3375"/>
      <c r="B22" s="3374" t="s">
        <v>1133</v>
      </c>
      <c r="C22" s="3373"/>
    </row>
    <row r="23" spans="1:3" ht="14.25">
      <c r="A23" s="3375"/>
      <c r="B23" s="3376" t="s">
        <v>1134</v>
      </c>
      <c r="C23" s="1343" t="s">
        <v>1135</v>
      </c>
    </row>
    <row r="24" spans="1:3" ht="14.25">
      <c r="A24" s="3375"/>
      <c r="B24" s="3376"/>
      <c r="C24" s="1343" t="s">
        <v>1136</v>
      </c>
    </row>
    <row r="25" spans="1:3" ht="14.25">
      <c r="A25" s="3375"/>
      <c r="B25" s="3376"/>
      <c r="C25" s="1343" t="s">
        <v>1137</v>
      </c>
    </row>
    <row r="26" spans="1:3" ht="14.25">
      <c r="A26" s="3375"/>
      <c r="B26" s="3376"/>
      <c r="C26" s="1343" t="s">
        <v>1138</v>
      </c>
    </row>
    <row r="27" spans="1:3" ht="14.25">
      <c r="A27" s="3375"/>
      <c r="B27" s="3376"/>
      <c r="C27" s="1343" t="s">
        <v>1139</v>
      </c>
    </row>
    <row r="28" spans="1:3" ht="14.25">
      <c r="A28" s="3375"/>
      <c r="B28" s="3376"/>
      <c r="C28" s="1343" t="s">
        <v>1140</v>
      </c>
    </row>
    <row r="29" spans="1:3" ht="14.25">
      <c r="A29" s="3375"/>
      <c r="B29" s="3376"/>
      <c r="C29" s="1343" t="s">
        <v>1141</v>
      </c>
    </row>
    <row r="30" spans="1:3" ht="14.25">
      <c r="A30" s="3375"/>
      <c r="B30" s="3376"/>
      <c r="C30" s="1343" t="s">
        <v>1142</v>
      </c>
    </row>
    <row r="31" spans="1:3" ht="14.25">
      <c r="A31" s="3375"/>
      <c r="B31" s="337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44677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0" t="s">
        <v>582</v>
      </c>
      <c r="B17" s="3380"/>
      <c r="C17" s="3380"/>
      <c r="D17" s="3380"/>
      <c r="E17" s="3380"/>
      <c r="F17" s="3380"/>
      <c r="G17" s="3380"/>
      <c r="H17" s="3380"/>
    </row>
    <row r="18" spans="1:8" ht="24" customHeight="1">
      <c r="A18" s="3381" t="s">
        <v>583</v>
      </c>
      <c r="B18" s="3381"/>
      <c r="C18" s="3381"/>
      <c r="D18" s="2987"/>
      <c r="E18" s="3382" t="s">
        <v>584</v>
      </c>
      <c r="F18" s="3381"/>
      <c r="G18" s="3381"/>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row>
    <row r="54" spans="1:4">
      <c r="A54" s="3383"/>
      <c r="B54" s="9" t="s">
        <v>1280</v>
      </c>
      <c r="C54" s="9" t="s">
        <v>1281</v>
      </c>
    </row>
    <row r="55" spans="1:4">
      <c r="A55" s="3383"/>
      <c r="B55" s="9" t="s">
        <v>1282</v>
      </c>
      <c r="C55" s="9" t="s">
        <v>1283</v>
      </c>
    </row>
    <row r="56" spans="1:4">
      <c r="A56" s="3383"/>
      <c r="B56" s="9" t="s">
        <v>1284</v>
      </c>
      <c r="C56" s="9" t="s">
        <v>1285</v>
      </c>
    </row>
    <row r="57" spans="1:4">
      <c r="A57" s="338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2022-04-26T09:07:42Z</dcterms:modified>
</cp:coreProperties>
</file>