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周彤\报告\2025年\2025-1-0302-日坛酒店部分\P02\"/>
    </mc:Choice>
  </mc:AlternateContent>
  <xr:revisionPtr revIDLastSave="0" documentId="13_ncr:1_{EE290051-C54E-4E01-8610-733065C6C7ED}" xr6:coauthVersionLast="47" xr6:coauthVersionMax="47" xr10:uidLastSave="{00000000-0000-0000-0000-000000000000}"/>
  <bookViews>
    <workbookView xWindow="96" yWindow="312" windowWidth="12708" windowHeight="11628"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收益法-酒店模型" sheetId="77" state="hidden" r:id="rId27"/>
    <sheet name="收益法车" sheetId="81"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收益法车!$A$1:$F$43,收益法车!$H$3:$M$29,收益法车!$A$46:$F$71,收益法车!$I$46:$N$65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K51" i="79" l="1"/>
  <c r="AI51" i="79"/>
  <c r="AH51" i="79"/>
  <c r="AG51" i="79"/>
  <c r="AK50" i="79"/>
  <c r="AI50" i="79"/>
  <c r="AH50" i="79"/>
  <c r="AG50" i="79"/>
  <c r="AK49" i="79"/>
  <c r="AI49" i="79"/>
  <c r="AH49" i="79"/>
  <c r="AG49" i="79"/>
  <c r="AK48" i="79"/>
  <c r="AI48" i="79"/>
  <c r="AH48" i="79"/>
  <c r="AG48" i="79"/>
  <c r="AK47" i="79"/>
  <c r="AI47" i="79"/>
  <c r="AH47" i="79"/>
  <c r="AG47" i="79"/>
  <c r="AK46" i="79"/>
  <c r="AI46" i="79"/>
  <c r="AH46" i="79"/>
  <c r="AG46" i="79"/>
  <c r="AK45" i="79"/>
  <c r="AI45" i="79"/>
  <c r="AH45" i="79"/>
  <c r="AG45" i="79"/>
  <c r="AK44" i="79"/>
  <c r="AI44" i="79"/>
  <c r="AH44" i="79"/>
  <c r="AG44" i="79"/>
  <c r="AK43" i="79"/>
  <c r="AI43" i="79"/>
  <c r="AH43" i="79"/>
  <c r="AG43" i="79"/>
  <c r="AK42" i="79"/>
  <c r="AI42" i="79"/>
  <c r="AH42" i="79"/>
  <c r="AG42" i="79"/>
  <c r="AK41" i="79"/>
  <c r="AI41" i="79"/>
  <c r="AH41" i="79"/>
  <c r="AG41" i="79"/>
  <c r="AK40" i="79"/>
  <c r="AI40" i="79"/>
  <c r="AH40" i="79"/>
  <c r="AG40" i="79"/>
  <c r="AK39" i="79"/>
  <c r="AI39" i="79"/>
  <c r="AH39" i="79"/>
  <c r="AG39" i="79"/>
  <c r="AK38" i="79"/>
  <c r="AI38" i="79"/>
  <c r="AH38" i="79"/>
  <c r="AG38" i="79"/>
  <c r="AK37" i="79"/>
  <c r="AI37" i="79"/>
  <c r="AH37" i="79"/>
  <c r="AG37" i="79"/>
  <c r="AK36" i="79"/>
  <c r="AI36" i="79"/>
  <c r="AH36" i="79"/>
  <c r="AG36" i="79"/>
  <c r="AK35" i="79"/>
  <c r="AI35" i="79"/>
  <c r="AH35" i="79"/>
  <c r="AG35"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K34" i="79"/>
  <c r="AI34" i="79"/>
  <c r="AH34" i="79"/>
  <c r="AG34" i="79"/>
  <c r="AK33" i="79"/>
  <c r="AI33" i="79"/>
  <c r="AH33" i="79"/>
  <c r="AG33"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K9" i="79"/>
  <c r="AJ9" i="79"/>
  <c r="AI9" i="79"/>
  <c r="AH9" i="79"/>
  <c r="AG9" i="79"/>
  <c r="AF9" i="79"/>
  <c r="AK8" i="79"/>
  <c r="AJ8" i="79"/>
  <c r="AI8" i="79"/>
  <c r="AH8" i="79"/>
  <c r="AG8" i="79"/>
  <c r="AF8" i="79"/>
  <c r="AQ7" i="79"/>
  <c r="AQ8" i="79" s="1"/>
  <c r="AQ9" i="79" s="1"/>
  <c r="AQ10" i="79" s="1"/>
  <c r="AQ11" i="79" s="1"/>
  <c r="AQ12" i="79" s="1"/>
  <c r="AQ13" i="79" s="1"/>
  <c r="AQ14" i="79" s="1"/>
  <c r="AQ15" i="79" s="1"/>
  <c r="AQ16" i="79" s="1"/>
  <c r="AQ17" i="79" s="1"/>
  <c r="AQ18" i="79" s="1"/>
  <c r="AQ19" i="79" s="1"/>
  <c r="AQ20" i="79" s="1"/>
  <c r="AQ21" i="79" s="1"/>
  <c r="AQ22" i="79" s="1"/>
  <c r="AQ23" i="79" s="1"/>
  <c r="AQ24" i="79" s="1"/>
  <c r="AK7" i="79"/>
  <c r="AJ7" i="79"/>
  <c r="AI7" i="79"/>
  <c r="AH7" i="79"/>
  <c r="AG7" i="79"/>
  <c r="AF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K6" i="79"/>
  <c r="AJ6" i="79"/>
  <c r="AI6" i="79"/>
  <c r="AH6" i="79"/>
  <c r="AG6" i="79"/>
  <c r="AF6" i="79"/>
  <c r="AK5" i="79"/>
  <c r="AJ5" i="79"/>
  <c r="AI5" i="79"/>
  <c r="AH5" i="79"/>
  <c r="AG5" i="79"/>
  <c r="AF5" i="79"/>
  <c r="AC7" i="79"/>
  <c r="AB7" i="79"/>
  <c r="AA7" i="79"/>
  <c r="AD7" i="79" s="1"/>
  <c r="Z7" i="79"/>
  <c r="Y7" i="79"/>
  <c r="O7" i="79"/>
  <c r="N7" i="79"/>
  <c r="M7" i="79"/>
  <c r="P7" i="79" s="1"/>
  <c r="L7" i="79"/>
  <c r="K7" i="79"/>
  <c r="I7" i="79"/>
  <c r="AD6" i="79"/>
  <c r="AC6" i="79"/>
  <c r="AB6" i="79"/>
  <c r="AA6" i="79"/>
  <c r="Z6" i="79"/>
  <c r="Y6" i="79"/>
  <c r="P6" i="79"/>
  <c r="O6" i="79"/>
  <c r="N6" i="79"/>
  <c r="M6" i="79"/>
  <c r="L6" i="79"/>
  <c r="K6" i="79"/>
  <c r="I6" i="79"/>
  <c r="AC5" i="79"/>
  <c r="AB5" i="79"/>
  <c r="AA5" i="79"/>
  <c r="AD5" i="79" s="1"/>
  <c r="Z5" i="79"/>
  <c r="Y5" i="79"/>
  <c r="O5" i="79"/>
  <c r="N5" i="79"/>
  <c r="M5" i="79"/>
  <c r="P5" i="79" s="1"/>
  <c r="L5" i="79"/>
  <c r="K5" i="79"/>
  <c r="I5" i="79"/>
  <c r="I9" i="79"/>
  <c r="K9" i="79"/>
  <c r="L9" i="79"/>
  <c r="M9" i="79"/>
  <c r="P9" i="79" s="1"/>
  <c r="N9" i="79"/>
  <c r="O9" i="79"/>
  <c r="Y9" i="79"/>
  <c r="Z9" i="79"/>
  <c r="AA9" i="79"/>
  <c r="AB9" i="79"/>
  <c r="AC9" i="79"/>
  <c r="AD9" i="79"/>
  <c r="I10" i="79"/>
  <c r="K10" i="79"/>
  <c r="L10" i="79"/>
  <c r="M10" i="79"/>
  <c r="N10" i="79"/>
  <c r="O10" i="79"/>
  <c r="P10" i="79"/>
  <c r="Y10" i="79"/>
  <c r="Z10" i="79"/>
  <c r="AA10" i="79"/>
  <c r="AB10" i="79"/>
  <c r="AC10" i="79"/>
  <c r="AD10" i="79"/>
  <c r="B16" i="74" l="1"/>
  <c r="D16" i="74" l="1"/>
  <c r="G16" i="74" s="1"/>
  <c r="D15" i="74" l="1"/>
  <c r="F39" i="6" l="1"/>
  <c r="F38" i="6"/>
  <c r="B15" i="74"/>
  <c r="H37" i="80" l="1"/>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E67" i="71" s="1"/>
  <c r="C68" i="71"/>
  <c r="T68" i="71" s="1"/>
  <c r="B68" i="71"/>
  <c r="S68" i="71" s="1"/>
  <c r="F67" i="71"/>
  <c r="F66" i="71" s="1"/>
  <c r="C67" i="71"/>
  <c r="O67" i="71" s="1"/>
  <c r="B67" i="71"/>
  <c r="B66"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O39" i="71"/>
  <c r="Y39" i="71" s="1"/>
  <c r="Z39" i="71" s="1"/>
  <c r="N39" i="71"/>
  <c r="X39" i="71" s="1"/>
  <c r="AH38" i="71"/>
  <c r="AG38" i="71"/>
  <c r="AF38" i="71"/>
  <c r="AE38" i="71"/>
  <c r="AD38" i="71"/>
  <c r="Q38" i="71"/>
  <c r="AB38" i="71" s="1"/>
  <c r="P38" i="71"/>
  <c r="O38" i="71"/>
  <c r="Y38" i="71" s="1"/>
  <c r="Z38" i="71" s="1"/>
  <c r="N38" i="71"/>
  <c r="X38" i="71" s="1"/>
  <c r="D38" i="71"/>
  <c r="C38" i="71"/>
  <c r="AH37" i="71"/>
  <c r="AG37" i="71"/>
  <c r="AE37" i="71"/>
  <c r="AF37" i="71" s="1"/>
  <c r="AD37" i="71"/>
  <c r="AB37" i="71"/>
  <c r="Q37" i="71"/>
  <c r="F38" i="71" s="1"/>
  <c r="F39" i="71" s="1"/>
  <c r="F40" i="71" s="1"/>
  <c r="V40" i="71" s="1"/>
  <c r="P37" i="71"/>
  <c r="E38" i="71" s="1"/>
  <c r="E39" i="71" s="1"/>
  <c r="E40" i="71" s="1"/>
  <c r="U40"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Q35" i="71"/>
  <c r="P35" i="71"/>
  <c r="O35" i="71"/>
  <c r="N35" i="71"/>
  <c r="X35" i="71" s="1"/>
  <c r="AH34" i="71"/>
  <c r="AG34" i="71"/>
  <c r="AF34" i="71"/>
  <c r="AE34" i="71"/>
  <c r="AD34" i="71"/>
  <c r="Q34" i="71"/>
  <c r="AB34" i="71" s="1"/>
  <c r="P34" i="71"/>
  <c r="O34" i="71"/>
  <c r="N34" i="71"/>
  <c r="X34" i="71" s="1"/>
  <c r="D34" i="71"/>
  <c r="C34" i="71"/>
  <c r="C35" i="71" s="1"/>
  <c r="AH33" i="71"/>
  <c r="AG33" i="71"/>
  <c r="AE33" i="71"/>
  <c r="AF33" i="71" s="1"/>
  <c r="AD33" i="71"/>
  <c r="AB33" i="71"/>
  <c r="Q33" i="71"/>
  <c r="F34" i="71" s="1"/>
  <c r="F35" i="71" s="1"/>
  <c r="F36" i="71" s="1"/>
  <c r="V36" i="71" s="1"/>
  <c r="P33" i="71"/>
  <c r="E34" i="71" s="1"/>
  <c r="E35" i="71" s="1"/>
  <c r="E36" i="71" s="1"/>
  <c r="U36" i="71" s="1"/>
  <c r="O33" i="71"/>
  <c r="N33" i="71"/>
  <c r="B34" i="71" s="1"/>
  <c r="B35" i="71" s="1"/>
  <c r="B36" i="71" s="1"/>
  <c r="S36" i="71" s="1"/>
  <c r="D33" i="71"/>
  <c r="AH32" i="71"/>
  <c r="AG32" i="71"/>
  <c r="AF32" i="71"/>
  <c r="AE32" i="71"/>
  <c r="AD32" i="71"/>
  <c r="Q32" i="71"/>
  <c r="P32" i="71"/>
  <c r="O32" i="71"/>
  <c r="N32" i="71"/>
  <c r="X32" i="71" s="1"/>
  <c r="F32" i="71"/>
  <c r="V32" i="71" s="1"/>
  <c r="AH31" i="71"/>
  <c r="AG31" i="71"/>
  <c r="AE31" i="71"/>
  <c r="AF31" i="71" s="1"/>
  <c r="AD31" i="71"/>
  <c r="Q31" i="71"/>
  <c r="P31" i="71"/>
  <c r="O31" i="71"/>
  <c r="N31" i="71"/>
  <c r="AH30" i="71"/>
  <c r="AG30" i="71"/>
  <c r="AF30" i="71"/>
  <c r="AE30" i="71"/>
  <c r="AD30" i="71"/>
  <c r="Q30" i="71"/>
  <c r="P30" i="71"/>
  <c r="O30" i="71"/>
  <c r="Y30" i="71" s="1"/>
  <c r="Z30" i="71" s="1"/>
  <c r="N30" i="71"/>
  <c r="C30" i="71"/>
  <c r="B30" i="71"/>
  <c r="B31" i="71" s="1"/>
  <c r="B32" i="71" s="1"/>
  <c r="S32" i="71" s="1"/>
  <c r="AH29" i="71"/>
  <c r="AG29" i="71"/>
  <c r="AE29" i="71"/>
  <c r="AF29" i="71" s="1"/>
  <c r="AD29" i="71"/>
  <c r="Q29" i="71"/>
  <c r="F30" i="71" s="1"/>
  <c r="F31" i="71" s="1"/>
  <c r="P29" i="71"/>
  <c r="E30" i="71" s="1"/>
  <c r="E31" i="71" s="1"/>
  <c r="E32" i="71" s="1"/>
  <c r="U32" i="71" s="1"/>
  <c r="O29" i="71"/>
  <c r="Y29" i="71" s="1"/>
  <c r="Z29" i="71" s="1"/>
  <c r="N29" i="71"/>
  <c r="X29" i="71" s="1"/>
  <c r="D29" i="71"/>
  <c r="AH28" i="71"/>
  <c r="AG28" i="71"/>
  <c r="AF28" i="71"/>
  <c r="AE28" i="71"/>
  <c r="AD28" i="71"/>
  <c r="AB28" i="71"/>
  <c r="V28" i="71"/>
  <c r="Q28" i="71"/>
  <c r="P28" i="71"/>
  <c r="O28" i="71"/>
  <c r="Y28" i="71" s="1"/>
  <c r="Z28" i="71" s="1"/>
  <c r="N28" i="71"/>
  <c r="B28" i="71" s="1"/>
  <c r="F28" i="71"/>
  <c r="E28" i="71"/>
  <c r="C28" i="71"/>
  <c r="T28" i="71" s="1"/>
  <c r="AH27" i="71"/>
  <c r="AG27" i="71"/>
  <c r="AF27" i="71"/>
  <c r="AE27" i="71"/>
  <c r="AD27" i="71"/>
  <c r="AA27" i="71"/>
  <c r="Q27" i="71"/>
  <c r="AB27" i="71" s="1"/>
  <c r="P27" i="71"/>
  <c r="O27" i="71"/>
  <c r="Y27" i="71" s="1"/>
  <c r="Z27" i="71" s="1"/>
  <c r="N27" i="71"/>
  <c r="X27" i="71" s="1"/>
  <c r="F27" i="71"/>
  <c r="F26" i="71" s="1"/>
  <c r="E27" i="71"/>
  <c r="AH26" i="71"/>
  <c r="AG26" i="71"/>
  <c r="AE26" i="71"/>
  <c r="AF26" i="71" s="1"/>
  <c r="AD26" i="71"/>
  <c r="Q26" i="71"/>
  <c r="AB25" i="71" s="1"/>
  <c r="P26" i="71"/>
  <c r="AA26" i="71" s="1"/>
  <c r="O26" i="71"/>
  <c r="Y26" i="71" s="1"/>
  <c r="Z26" i="71" s="1"/>
  <c r="N26" i="71"/>
  <c r="X26" i="71" s="1"/>
  <c r="E26" i="71"/>
  <c r="AH25" i="71"/>
  <c r="AG25" i="71"/>
  <c r="AE25" i="71"/>
  <c r="AF25" i="71" s="1"/>
  <c r="AD25" i="71"/>
  <c r="Q25" i="71"/>
  <c r="P25" i="71"/>
  <c r="AA24" i="71" s="1"/>
  <c r="O25" i="71"/>
  <c r="Y25" i="71" s="1"/>
  <c r="Z25" i="71" s="1"/>
  <c r="N25" i="71"/>
  <c r="X25" i="71" s="1"/>
  <c r="D25" i="71"/>
  <c r="AH24" i="71"/>
  <c r="AG24" i="71"/>
  <c r="AF24" i="71"/>
  <c r="AE24" i="71"/>
  <c r="AD24" i="71"/>
  <c r="AB24" i="71"/>
  <c r="V24" i="71"/>
  <c r="Q24" i="71"/>
  <c r="P24" i="71"/>
  <c r="O24" i="71"/>
  <c r="Y24" i="71" s="1"/>
  <c r="Z24" i="71" s="1"/>
  <c r="N24" i="71"/>
  <c r="B24" i="71" s="1"/>
  <c r="F24" i="71"/>
  <c r="E24" i="7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E23" i="71"/>
  <c r="AH22" i="71"/>
  <c r="AG22" i="71"/>
  <c r="AE22" i="71"/>
  <c r="AF22" i="71" s="1"/>
  <c r="AD22" i="71"/>
  <c r="Q22" i="71"/>
  <c r="AB21" i="71" s="1"/>
  <c r="P22" i="71"/>
  <c r="AA22" i="71" s="1"/>
  <c r="O22" i="71"/>
  <c r="Y22" i="71" s="1"/>
  <c r="Z22" i="71" s="1"/>
  <c r="N22" i="71"/>
  <c r="X22" i="71" s="1"/>
  <c r="E22" i="71"/>
  <c r="E21" i="71" s="1"/>
  <c r="E20" i="71" s="1"/>
  <c r="AH21" i="71"/>
  <c r="AG21" i="71"/>
  <c r="AE21" i="71"/>
  <c r="AF21" i="71" s="1"/>
  <c r="AD21" i="71"/>
  <c r="Q21" i="71"/>
  <c r="P21" i="71"/>
  <c r="AA20" i="71" s="1"/>
  <c r="O21" i="71"/>
  <c r="Y21" i="71" s="1"/>
  <c r="Z21" i="71" s="1"/>
  <c r="N21" i="71"/>
  <c r="X21" i="71" s="1"/>
  <c r="AH20" i="71"/>
  <c r="AG20" i="71"/>
  <c r="AF20" i="71"/>
  <c r="AE20" i="71"/>
  <c r="AD20" i="71"/>
  <c r="AB20" i="71"/>
  <c r="Q20" i="71"/>
  <c r="P20" i="7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Q18" i="71"/>
  <c r="AB17" i="71" s="1"/>
  <c r="P18" i="71"/>
  <c r="AA18" i="71" s="1"/>
  <c r="O18" i="71"/>
  <c r="Y18" i="71" s="1"/>
  <c r="Z18" i="71" s="1"/>
  <c r="N18" i="71"/>
  <c r="X18" i="71" s="1"/>
  <c r="AH17" i="71"/>
  <c r="AG17" i="71"/>
  <c r="AE17" i="71"/>
  <c r="AF17" i="71" s="1"/>
  <c r="AD17" i="71"/>
  <c r="Q17" i="71"/>
  <c r="P17" i="71"/>
  <c r="AA16" i="71" s="1"/>
  <c r="O17" i="71"/>
  <c r="Y17" i="71" s="1"/>
  <c r="Z17" i="71" s="1"/>
  <c r="N17" i="71"/>
  <c r="X17" i="71" s="1"/>
  <c r="AH16" i="71"/>
  <c r="AG16" i="71"/>
  <c r="AF16" i="71"/>
  <c r="AE16" i="71"/>
  <c r="AD16" i="71"/>
  <c r="AB16" i="71"/>
  <c r="Q16" i="71"/>
  <c r="P16" i="7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Q14" i="71"/>
  <c r="AB13" i="71" s="1"/>
  <c r="P14" i="71"/>
  <c r="AA14" i="71" s="1"/>
  <c r="O14" i="71"/>
  <c r="Y14" i="71" s="1"/>
  <c r="Z14" i="71" s="1"/>
  <c r="N14" i="71"/>
  <c r="X14" i="71" s="1"/>
  <c r="AH13" i="71"/>
  <c r="AG13" i="71"/>
  <c r="AE13" i="71"/>
  <c r="AF13" i="71" s="1"/>
  <c r="AD13" i="71"/>
  <c r="Y13" i="71"/>
  <c r="Z13" i="71" s="1"/>
  <c r="Q13" i="71"/>
  <c r="P13" i="71"/>
  <c r="AA12" i="71" s="1"/>
  <c r="O13" i="71"/>
  <c r="N13" i="71"/>
  <c r="X13" i="71" s="1"/>
  <c r="AH12" i="71"/>
  <c r="AG12" i="71"/>
  <c r="AF12" i="71"/>
  <c r="AE12" i="71"/>
  <c r="AD12" i="71"/>
  <c r="AB12" i="71"/>
  <c r="X12" i="71"/>
  <c r="Q12" i="71"/>
  <c r="P12" i="71"/>
  <c r="O12" i="71"/>
  <c r="Y12" i="71" s="1"/>
  <c r="Z12" i="71" s="1"/>
  <c r="N12" i="71"/>
  <c r="AH11" i="71"/>
  <c r="AG11" i="71"/>
  <c r="AF11" i="71"/>
  <c r="AE11" i="71"/>
  <c r="AD11" i="71"/>
  <c r="AA11" i="71"/>
  <c r="Q11" i="71"/>
  <c r="AB11" i="71" s="1"/>
  <c r="P11" i="71"/>
  <c r="O11" i="71"/>
  <c r="Y11" i="71" s="1"/>
  <c r="Z11" i="71" s="1"/>
  <c r="N11" i="71"/>
  <c r="X11" i="71" s="1"/>
  <c r="F11" i="71"/>
  <c r="F10" i="71" s="1"/>
  <c r="F9" i="71" s="1"/>
  <c r="F8" i="71" s="1"/>
  <c r="AH10" i="71"/>
  <c r="AG10" i="71"/>
  <c r="AE10" i="71"/>
  <c r="AF10" i="71" s="1"/>
  <c r="AD10" i="71"/>
  <c r="Q10" i="71"/>
  <c r="AB9" i="71" s="1"/>
  <c r="P10" i="71"/>
  <c r="AA10" i="71" s="1"/>
  <c r="O10" i="71"/>
  <c r="N10" i="71"/>
  <c r="X10" i="71" s="1"/>
  <c r="AH9" i="71"/>
  <c r="AG9" i="71"/>
  <c r="AE9" i="71"/>
  <c r="AF9" i="71" s="1"/>
  <c r="AD9" i="71"/>
  <c r="Q9" i="71"/>
  <c r="P9" i="71"/>
  <c r="AA9" i="71" s="1"/>
  <c r="O9" i="71"/>
  <c r="Y9" i="71" s="1"/>
  <c r="Z9" i="71" s="1"/>
  <c r="N9" i="71"/>
  <c r="X9" i="71" s="1"/>
  <c r="AH8" i="71"/>
  <c r="AG8" i="71"/>
  <c r="AF8" i="71"/>
  <c r="AE8" i="71"/>
  <c r="AD8" i="71"/>
  <c r="Q8" i="71"/>
  <c r="P8" i="71"/>
  <c r="O8" i="71"/>
  <c r="N8" i="71"/>
  <c r="X3" i="71" s="1"/>
  <c r="AH7" i="71"/>
  <c r="AG7" i="71"/>
  <c r="AF7" i="71"/>
  <c r="AE7" i="71"/>
  <c r="AD7" i="71"/>
  <c r="AB7" i="71"/>
  <c r="AA7" i="71"/>
  <c r="Z7" i="71"/>
  <c r="Y7" i="71"/>
  <c r="X7" i="71"/>
  <c r="Q7" i="71"/>
  <c r="P7" i="71"/>
  <c r="O7" i="71"/>
  <c r="N7" i="71"/>
  <c r="F7" i="71"/>
  <c r="F6" i="71" s="1"/>
  <c r="F5" i="71" s="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Y3" i="71" s="1"/>
  <c r="Z3" i="71" s="1"/>
  <c r="N5" i="71"/>
  <c r="AH3" i="71"/>
  <c r="AG3" i="71"/>
  <c r="AD3" i="71"/>
  <c r="AB3" i="71"/>
  <c r="L3" i="71"/>
  <c r="K3" i="71"/>
  <c r="J3" i="71"/>
  <c r="AE3" i="71" s="1"/>
  <c r="AF3" i="71" s="1"/>
  <c r="I3" i="71"/>
  <c r="AB49" i="79"/>
  <c r="AA49" i="79"/>
  <c r="Z49" i="79"/>
  <c r="W49" i="79"/>
  <c r="N49" i="79"/>
  <c r="M49" i="79"/>
  <c r="P49" i="79" s="1"/>
  <c r="L49" i="79"/>
  <c r="I49" i="79"/>
  <c r="AD49" i="79" s="1"/>
  <c r="AB48" i="79"/>
  <c r="AA48" i="79"/>
  <c r="Z48" i="79"/>
  <c r="P48" i="79"/>
  <c r="N48" i="79"/>
  <c r="U48" i="79" s="1"/>
  <c r="M48" i="79"/>
  <c r="T48" i="79" s="1"/>
  <c r="W48" i="79" s="1"/>
  <c r="L48" i="79"/>
  <c r="S48" i="79" s="1"/>
  <c r="I48" i="79"/>
  <c r="AD48" i="79" s="1"/>
  <c r="AB47" i="79"/>
  <c r="AA47" i="79"/>
  <c r="Z47" i="79"/>
  <c r="N47" i="79"/>
  <c r="M47" i="79"/>
  <c r="T47" i="79" s="1"/>
  <c r="W47" i="79" s="1"/>
  <c r="L47" i="79"/>
  <c r="S47" i="79" s="1"/>
  <c r="I47" i="79"/>
  <c r="AD47" i="79" s="1"/>
  <c r="AB46" i="79"/>
  <c r="AA46" i="79"/>
  <c r="Z46" i="79"/>
  <c r="N46" i="79"/>
  <c r="M46" i="79"/>
  <c r="P46" i="79" s="1"/>
  <c r="L46" i="79"/>
  <c r="S46" i="79" s="1"/>
  <c r="I46" i="79"/>
  <c r="AD46" i="79" s="1"/>
  <c r="AB45" i="79"/>
  <c r="AA45" i="79"/>
  <c r="Z45" i="79"/>
  <c r="N45" i="79"/>
  <c r="U45" i="79" s="1"/>
  <c r="M45" i="79"/>
  <c r="P45" i="79" s="1"/>
  <c r="L45" i="79"/>
  <c r="S45" i="79" s="1"/>
  <c r="I45" i="79"/>
  <c r="AD45" i="79" s="1"/>
  <c r="AB44" i="79"/>
  <c r="AA44" i="79"/>
  <c r="Z44" i="79"/>
  <c r="N44" i="79"/>
  <c r="U44" i="79" s="1"/>
  <c r="M44" i="79"/>
  <c r="P44" i="79" s="1"/>
  <c r="L44" i="79"/>
  <c r="I44" i="79"/>
  <c r="AD44" i="79" s="1"/>
  <c r="AB43" i="79"/>
  <c r="AA43" i="79"/>
  <c r="Z43" i="79"/>
  <c r="N43" i="79"/>
  <c r="U43" i="79" s="1"/>
  <c r="M43" i="79"/>
  <c r="P43" i="79" s="1"/>
  <c r="L43" i="79"/>
  <c r="S43" i="79" s="1"/>
  <c r="I43" i="79"/>
  <c r="AD43" i="79" s="1"/>
  <c r="AB42" i="79"/>
  <c r="AA42" i="79"/>
  <c r="Z42" i="79"/>
  <c r="N42" i="79"/>
  <c r="U42" i="79" s="1"/>
  <c r="M42" i="79"/>
  <c r="T42" i="79" s="1"/>
  <c r="W42" i="79" s="1"/>
  <c r="L42" i="79"/>
  <c r="S42" i="79" s="1"/>
  <c r="I42" i="79"/>
  <c r="AD42" i="79" s="1"/>
  <c r="N41" i="79"/>
  <c r="U41" i="79" s="1"/>
  <c r="M41" i="79"/>
  <c r="P41" i="79" s="1"/>
  <c r="L41" i="79"/>
  <c r="S41" i="79" s="1"/>
  <c r="I41" i="79"/>
  <c r="N40" i="79"/>
  <c r="U40" i="79" s="1"/>
  <c r="M40" i="79"/>
  <c r="T40" i="79" s="1"/>
  <c r="W40" i="79" s="1"/>
  <c r="L40" i="79"/>
  <c r="S40" i="79" s="1"/>
  <c r="I40" i="79"/>
  <c r="P39" i="79"/>
  <c r="N39" i="79"/>
  <c r="M39" i="79"/>
  <c r="T39" i="79" s="1"/>
  <c r="W39" i="79" s="1"/>
  <c r="L39" i="79"/>
  <c r="I39" i="79"/>
  <c r="P38" i="79"/>
  <c r="N38" i="79"/>
  <c r="U38" i="79" s="1"/>
  <c r="M38" i="79"/>
  <c r="L38" i="79"/>
  <c r="S38" i="79" s="1"/>
  <c r="I38" i="79"/>
  <c r="N37" i="79"/>
  <c r="U37" i="79" s="1"/>
  <c r="M37" i="79"/>
  <c r="P37" i="79" s="1"/>
  <c r="L37" i="79"/>
  <c r="S37" i="79" s="1"/>
  <c r="I37" i="79"/>
  <c r="AB36" i="79"/>
  <c r="AA36" i="79"/>
  <c r="Z36" i="79"/>
  <c r="N36" i="79"/>
  <c r="M36" i="79"/>
  <c r="T36" i="79" s="1"/>
  <c r="W36" i="79" s="1"/>
  <c r="L36" i="79"/>
  <c r="I36" i="79"/>
  <c r="AD36" i="79" s="1"/>
  <c r="AB35" i="79"/>
  <c r="AA35" i="79"/>
  <c r="Z35" i="79"/>
  <c r="N35" i="79"/>
  <c r="U35" i="79" s="1"/>
  <c r="M35" i="79"/>
  <c r="T35" i="79" s="1"/>
  <c r="W35" i="79" s="1"/>
  <c r="L35" i="79"/>
  <c r="I35" i="79"/>
  <c r="AD35" i="79" s="1"/>
  <c r="AB34" i="79"/>
  <c r="AA34" i="79"/>
  <c r="Z34" i="79"/>
  <c r="N34" i="79"/>
  <c r="U34" i="79" s="1"/>
  <c r="M34" i="79"/>
  <c r="T34" i="79" s="1"/>
  <c r="W34" i="79" s="1"/>
  <c r="L34" i="79"/>
  <c r="I34" i="79"/>
  <c r="AD34" i="79" s="1"/>
  <c r="AB33" i="79"/>
  <c r="AA33" i="79"/>
  <c r="AA31" i="79" s="1"/>
  <c r="AD31" i="79" s="1"/>
  <c r="Z33" i="79"/>
  <c r="N33" i="79"/>
  <c r="U33" i="79" s="1"/>
  <c r="M33" i="79"/>
  <c r="P33" i="79" s="1"/>
  <c r="L33" i="79"/>
  <c r="S33" i="79" s="1"/>
  <c r="I33" i="79"/>
  <c r="AD33" i="79" s="1"/>
  <c r="AB31" i="79"/>
  <c r="Z31" i="79"/>
  <c r="T31" i="79"/>
  <c r="W31" i="79" s="1"/>
  <c r="N31" i="79"/>
  <c r="L31" i="79"/>
  <c r="G31" i="79"/>
  <c r="F31" i="79"/>
  <c r="I31" i="79" s="1"/>
  <c r="E31" i="79"/>
  <c r="AC24" i="79"/>
  <c r="AB24" i="79"/>
  <c r="AA24" i="79"/>
  <c r="AD24" i="79" s="1"/>
  <c r="Z24" i="79"/>
  <c r="Y24" i="79"/>
  <c r="W24" i="79"/>
  <c r="O24" i="79"/>
  <c r="N24" i="79"/>
  <c r="M24" i="79"/>
  <c r="P24" i="79" s="1"/>
  <c r="L24" i="79"/>
  <c r="K24" i="79"/>
  <c r="I24" i="79"/>
  <c r="AD23" i="79"/>
  <c r="AC23" i="79"/>
  <c r="AB23" i="79"/>
  <c r="AA23" i="79"/>
  <c r="Z23" i="79"/>
  <c r="Y23" i="79"/>
  <c r="P23" i="79"/>
  <c r="O23" i="79"/>
  <c r="V23" i="79" s="1"/>
  <c r="N23" i="79"/>
  <c r="U23" i="79" s="1"/>
  <c r="M23" i="79"/>
  <c r="T23" i="79" s="1"/>
  <c r="W23" i="79" s="1"/>
  <c r="L23" i="79"/>
  <c r="S23" i="79" s="1"/>
  <c r="K23" i="79"/>
  <c r="R23" i="79" s="1"/>
  <c r="I23" i="79"/>
  <c r="AC22" i="79"/>
  <c r="AB22" i="79"/>
  <c r="AA22" i="79"/>
  <c r="AD22" i="79" s="1"/>
  <c r="Z22" i="79"/>
  <c r="Y22" i="79"/>
  <c r="S22" i="79"/>
  <c r="O22" i="79"/>
  <c r="V22" i="79" s="1"/>
  <c r="N22" i="79"/>
  <c r="M22" i="79"/>
  <c r="P22" i="79" s="1"/>
  <c r="L22" i="79"/>
  <c r="K22" i="79"/>
  <c r="R22" i="79" s="1"/>
  <c r="I22" i="79"/>
  <c r="AC21" i="79"/>
  <c r="AB21" i="79"/>
  <c r="AA21" i="79"/>
  <c r="AD21" i="79" s="1"/>
  <c r="Z21" i="79"/>
  <c r="Y21" i="79"/>
  <c r="S21" i="79"/>
  <c r="O21" i="79"/>
  <c r="V21" i="79" s="1"/>
  <c r="N21" i="79"/>
  <c r="M21" i="79"/>
  <c r="P21" i="79" s="1"/>
  <c r="L21" i="79"/>
  <c r="K21" i="79"/>
  <c r="R20" i="79" s="1"/>
  <c r="I21" i="79"/>
  <c r="AD20" i="79"/>
  <c r="AC20" i="79"/>
  <c r="AB20" i="79"/>
  <c r="AA20" i="79"/>
  <c r="Z20" i="79"/>
  <c r="Y20" i="79"/>
  <c r="V20" i="79"/>
  <c r="O20" i="79"/>
  <c r="N20" i="79"/>
  <c r="U20" i="79" s="1"/>
  <c r="M20" i="79"/>
  <c r="P20" i="79" s="1"/>
  <c r="L20" i="79"/>
  <c r="S20" i="79" s="1"/>
  <c r="K20" i="79"/>
  <c r="I20" i="79"/>
  <c r="AC19" i="79"/>
  <c r="AB19" i="79"/>
  <c r="AA19" i="79"/>
  <c r="AD19" i="79" s="1"/>
  <c r="Z19" i="79"/>
  <c r="Y19" i="79"/>
  <c r="O19" i="79"/>
  <c r="V19" i="79" s="1"/>
  <c r="N19" i="79"/>
  <c r="U19" i="79" s="1"/>
  <c r="M19" i="79"/>
  <c r="P19" i="79" s="1"/>
  <c r="L19" i="79"/>
  <c r="K19" i="79"/>
  <c r="R19" i="79" s="1"/>
  <c r="I19" i="79"/>
  <c r="AD18" i="79"/>
  <c r="AC18" i="79"/>
  <c r="AB18" i="79"/>
  <c r="AA18" i="79"/>
  <c r="Z18" i="79"/>
  <c r="Y18" i="79"/>
  <c r="T18" i="79"/>
  <c r="W18" i="79" s="1"/>
  <c r="P18" i="79"/>
  <c r="O18" i="79"/>
  <c r="N18" i="79"/>
  <c r="U18" i="79" s="1"/>
  <c r="M18" i="79"/>
  <c r="L18" i="79"/>
  <c r="S18" i="79" s="1"/>
  <c r="K18" i="79"/>
  <c r="I18" i="79"/>
  <c r="AC17" i="79"/>
  <c r="AB17" i="79"/>
  <c r="AA17" i="79"/>
  <c r="AD17" i="79" s="1"/>
  <c r="Z17" i="79"/>
  <c r="Y17" i="79"/>
  <c r="V17" i="79"/>
  <c r="R17" i="79"/>
  <c r="O17" i="79"/>
  <c r="N17" i="79"/>
  <c r="M17" i="79"/>
  <c r="L17" i="79"/>
  <c r="S17" i="79" s="1"/>
  <c r="K17" i="79"/>
  <c r="I17" i="79"/>
  <c r="P16" i="79"/>
  <c r="O16" i="79"/>
  <c r="V16" i="79" s="1"/>
  <c r="N16" i="79"/>
  <c r="M16" i="79"/>
  <c r="L16" i="79"/>
  <c r="S16" i="79" s="1"/>
  <c r="K16" i="79"/>
  <c r="R16" i="79" s="1"/>
  <c r="I16" i="79"/>
  <c r="P15" i="79"/>
  <c r="O15" i="79"/>
  <c r="N15" i="79"/>
  <c r="M15" i="79"/>
  <c r="T15" i="79" s="1"/>
  <c r="W15" i="79" s="1"/>
  <c r="L15" i="79"/>
  <c r="S15" i="79" s="1"/>
  <c r="K15" i="79"/>
  <c r="I15" i="79"/>
  <c r="P14" i="79"/>
  <c r="O14" i="79"/>
  <c r="N14" i="79"/>
  <c r="U14" i="79" s="1"/>
  <c r="M14" i="79"/>
  <c r="T14" i="79" s="1"/>
  <c r="W14" i="79" s="1"/>
  <c r="L14" i="79"/>
  <c r="K14" i="79"/>
  <c r="I14" i="79"/>
  <c r="R13" i="79"/>
  <c r="O13" i="79"/>
  <c r="V13" i="79" s="1"/>
  <c r="N13" i="79"/>
  <c r="U13" i="79" s="1"/>
  <c r="M13" i="79"/>
  <c r="L13" i="79"/>
  <c r="K13" i="79"/>
  <c r="I13" i="79"/>
  <c r="P12" i="79"/>
  <c r="O12" i="79"/>
  <c r="V12" i="79" s="1"/>
  <c r="N12" i="79"/>
  <c r="U12" i="79" s="1"/>
  <c r="M12" i="79"/>
  <c r="L12" i="79"/>
  <c r="S12" i="79" s="1"/>
  <c r="K12" i="79"/>
  <c r="R12" i="79" s="1"/>
  <c r="AC11" i="79"/>
  <c r="AB11" i="79"/>
  <c r="AA11" i="79"/>
  <c r="AA3" i="79" s="1"/>
  <c r="AD3" i="79" s="1"/>
  <c r="Z11" i="79"/>
  <c r="Y11" i="79"/>
  <c r="O11" i="79"/>
  <c r="O3" i="79" s="1"/>
  <c r="N11" i="79"/>
  <c r="M11" i="79"/>
  <c r="L11" i="79"/>
  <c r="K11" i="79"/>
  <c r="R11" i="79" s="1"/>
  <c r="I11" i="79"/>
  <c r="AC3" i="79"/>
  <c r="AB3" i="79"/>
  <c r="Z3" i="79"/>
  <c r="Y3" i="79"/>
  <c r="V3" i="79"/>
  <c r="S3" i="79"/>
  <c r="R3" i="79"/>
  <c r="M3" i="79"/>
  <c r="P3" i="79" s="1"/>
  <c r="L3" i="79"/>
  <c r="H3" i="79"/>
  <c r="G3" i="79"/>
  <c r="F3" i="79"/>
  <c r="I3" i="79" s="1"/>
  <c r="E3" i="79"/>
  <c r="D3" i="79"/>
  <c r="C40" i="11"/>
  <c r="F38" i="11"/>
  <c r="F36" i="11"/>
  <c r="F35" i="11"/>
  <c r="F21" i="1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F39" i="40" s="1"/>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H32" i="40" s="1"/>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E76" i="40"/>
  <c r="F76" i="40" s="1"/>
  <c r="G76" i="40" s="1"/>
  <c r="D76" i="40"/>
  <c r="M74" i="40"/>
  <c r="L74" i="40"/>
  <c r="K74" i="40"/>
  <c r="J74" i="40"/>
  <c r="I74" i="40"/>
  <c r="H74" i="40"/>
  <c r="G74" i="40"/>
  <c r="F74" i="40"/>
  <c r="E74" i="40"/>
  <c r="D74" i="40"/>
  <c r="C74" i="40"/>
  <c r="H60" i="40"/>
  <c r="I60" i="40" s="1"/>
  <c r="C60" i="40" s="1"/>
  <c r="H59" i="40"/>
  <c r="I59" i="40" s="1"/>
  <c r="C59" i="40" s="1"/>
  <c r="H58" i="40"/>
  <c r="I58" i="40" s="1"/>
  <c r="C58" i="40" s="1"/>
  <c r="I57" i="40"/>
  <c r="C57" i="40" s="1"/>
  <c r="H57" i="40"/>
  <c r="H56" i="40"/>
  <c r="I56" i="40" s="1"/>
  <c r="C56" i="40" s="1"/>
  <c r="H54" i="40"/>
  <c r="I54" i="40" s="1"/>
  <c r="C54" i="40" s="1"/>
  <c r="I53" i="40"/>
  <c r="H53" i="40"/>
  <c r="C53" i="40"/>
  <c r="H52" i="40"/>
  <c r="I52" i="40" s="1"/>
  <c r="C52" i="40" s="1"/>
  <c r="J48" i="40"/>
  <c r="I48" i="40"/>
  <c r="H48" i="40"/>
  <c r="G48" i="40"/>
  <c r="F48" i="40"/>
  <c r="E48" i="40"/>
  <c r="P43" i="40"/>
  <c r="P42" i="40"/>
  <c r="K42" i="40"/>
  <c r="V41" i="40"/>
  <c r="T41" i="40"/>
  <c r="R41" i="40"/>
  <c r="P41" i="40"/>
  <c r="W40" i="40"/>
  <c r="Q40" i="40"/>
  <c r="Z40" i="40" s="1"/>
  <c r="J40" i="40"/>
  <c r="AC40" i="40" s="1"/>
  <c r="F40" i="40"/>
  <c r="S40" i="40" s="1"/>
  <c r="W39" i="40"/>
  <c r="Q39" i="40"/>
  <c r="Z39" i="40" s="1"/>
  <c r="J39" i="40"/>
  <c r="AC39" i="40" s="1"/>
  <c r="H39" i="40"/>
  <c r="U39" i="40" s="1"/>
  <c r="AB38" i="40"/>
  <c r="Q38" i="40"/>
  <c r="Z38" i="40" s="1"/>
  <c r="J38" i="40"/>
  <c r="H38" i="40"/>
  <c r="U38" i="40" s="1"/>
  <c r="F38" i="40"/>
  <c r="AA38" i="40" s="1"/>
  <c r="AA37" i="40"/>
  <c r="U37" i="40"/>
  <c r="Q37" i="40"/>
  <c r="Z37" i="40" s="1"/>
  <c r="J37" i="40"/>
  <c r="AC37" i="40" s="1"/>
  <c r="H37" i="40"/>
  <c r="AB37" i="40" s="1"/>
  <c r="F37" i="40"/>
  <c r="S37" i="40" s="1"/>
  <c r="Z36" i="40"/>
  <c r="Q36" i="40"/>
  <c r="J36" i="40"/>
  <c r="W36" i="40" s="1"/>
  <c r="H36" i="40"/>
  <c r="AB36" i="40" s="1"/>
  <c r="F36" i="40"/>
  <c r="AA36" i="40" s="1"/>
  <c r="W35" i="40"/>
  <c r="Q35" i="40"/>
  <c r="Z35" i="40" s="1"/>
  <c r="J35" i="40"/>
  <c r="AC35" i="40" s="1"/>
  <c r="H35" i="40"/>
  <c r="U35" i="40" s="1"/>
  <c r="F35" i="40"/>
  <c r="AA35" i="40" s="1"/>
  <c r="AC34" i="40"/>
  <c r="AA34" i="40"/>
  <c r="U34" i="40"/>
  <c r="Q34" i="40"/>
  <c r="Z34" i="40" s="1"/>
  <c r="J34" i="40"/>
  <c r="W34" i="40" s="1"/>
  <c r="H34" i="40"/>
  <c r="AB34" i="40" s="1"/>
  <c r="F34" i="40"/>
  <c r="S34" i="40" s="1"/>
  <c r="Z33" i="40"/>
  <c r="Q33" i="40"/>
  <c r="Z32" i="40"/>
  <c r="S32" i="40"/>
  <c r="Q32" i="40"/>
  <c r="J32" i="40"/>
  <c r="W32" i="40" s="1"/>
  <c r="F32" i="40"/>
  <c r="AA32" i="40" s="1"/>
  <c r="Z31" i="40"/>
  <c r="Q31" i="40"/>
  <c r="J31" i="40"/>
  <c r="AC30" i="40"/>
  <c r="AA30" i="40"/>
  <c r="Q30" i="40"/>
  <c r="Z30" i="40" s="1"/>
  <c r="J30" i="40"/>
  <c r="W30" i="40" s="1"/>
  <c r="H30" i="40"/>
  <c r="F30" i="40"/>
  <c r="S30" i="40" s="1"/>
  <c r="C30" i="40"/>
  <c r="AB28" i="40"/>
  <c r="W28" i="40"/>
  <c r="Q28" i="40"/>
  <c r="Z28" i="40" s="1"/>
  <c r="J28" i="40"/>
  <c r="AC28" i="40" s="1"/>
  <c r="H28" i="40"/>
  <c r="U28" i="40" s="1"/>
  <c r="F28" i="40"/>
  <c r="AA28" i="40" s="1"/>
  <c r="C28" i="40"/>
  <c r="AC27" i="40"/>
  <c r="AA27" i="40"/>
  <c r="Q27" i="40"/>
  <c r="Z27" i="40" s="1"/>
  <c r="J27" i="40"/>
  <c r="W27" i="40" s="1"/>
  <c r="H27" i="40"/>
  <c r="F27" i="40"/>
  <c r="S27" i="40" s="1"/>
  <c r="AB25" i="40"/>
  <c r="Z25" i="40"/>
  <c r="Q25" i="40"/>
  <c r="J25" i="40"/>
  <c r="AC25" i="40" s="1"/>
  <c r="H25" i="40"/>
  <c r="U25" i="40" s="1"/>
  <c r="F25" i="40"/>
  <c r="AA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F43" i="39" s="1"/>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J37" i="39" s="1"/>
  <c r="B111" i="39"/>
  <c r="H36" i="39" s="1"/>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Z45" i="39"/>
  <c r="U45" i="39"/>
  <c r="Q45" i="39"/>
  <c r="J45" i="39"/>
  <c r="AC45" i="39" s="1"/>
  <c r="H45" i="39"/>
  <c r="F45" i="39"/>
  <c r="AA45" i="39" s="1"/>
  <c r="AA44" i="39"/>
  <c r="S44" i="39"/>
  <c r="Q44" i="39"/>
  <c r="Z44" i="39" s="1"/>
  <c r="J44" i="39"/>
  <c r="F44" i="39"/>
  <c r="AB43" i="39"/>
  <c r="U43" i="39"/>
  <c r="Q43" i="39"/>
  <c r="Z43" i="39" s="1"/>
  <c r="J43" i="39"/>
  <c r="AC43" i="39" s="1"/>
  <c r="H43" i="39"/>
  <c r="AC42" i="39"/>
  <c r="AA42" i="39"/>
  <c r="W42" i="39"/>
  <c r="Q42" i="39"/>
  <c r="Z42" i="39" s="1"/>
  <c r="J42" i="39"/>
  <c r="H42" i="39"/>
  <c r="AB42" i="39" s="1"/>
  <c r="F42" i="39"/>
  <c r="S42" i="39" s="1"/>
  <c r="AB41" i="39"/>
  <c r="Z41" i="39"/>
  <c r="U41" i="39"/>
  <c r="Q41" i="39"/>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Q37" i="39"/>
  <c r="Z37" i="39" s="1"/>
  <c r="H37" i="39"/>
  <c r="U37" i="39" s="1"/>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Z29" i="39"/>
  <c r="U29" i="39"/>
  <c r="Q29" i="39"/>
  <c r="J29" i="39"/>
  <c r="AC29" i="39" s="1"/>
  <c r="H29" i="39"/>
  <c r="F29" i="39"/>
  <c r="AA29" i="39" s="1"/>
  <c r="AB27" i="39"/>
  <c r="Z27" i="39"/>
  <c r="U27" i="39"/>
  <c r="Q27" i="39"/>
  <c r="J27" i="39"/>
  <c r="H27" i="39"/>
  <c r="F27" i="39"/>
  <c r="AA27" i="39" s="1"/>
  <c r="Z25" i="39"/>
  <c r="U25" i="39"/>
  <c r="Q25" i="39"/>
  <c r="J25" i="39"/>
  <c r="W25" i="39" s="1"/>
  <c r="H25" i="39"/>
  <c r="AB25" i="39" s="1"/>
  <c r="F25" i="39"/>
  <c r="AA25" i="39" s="1"/>
  <c r="AC23" i="39"/>
  <c r="AB23" i="39"/>
  <c r="Z23" i="39"/>
  <c r="U23" i="39"/>
  <c r="Q23" i="39"/>
  <c r="J23" i="39"/>
  <c r="W23" i="39" s="1"/>
  <c r="H23" i="39"/>
  <c r="F23" i="39"/>
  <c r="AA23" i="39" s="1"/>
  <c r="C23" i="39"/>
  <c r="Z21" i="39"/>
  <c r="U21" i="39"/>
  <c r="Q21" i="39"/>
  <c r="J21" i="39"/>
  <c r="W21" i="39" s="1"/>
  <c r="H21" i="39"/>
  <c r="AB21" i="39" s="1"/>
  <c r="F21" i="39"/>
  <c r="AA21" i="39" s="1"/>
  <c r="AC19" i="39"/>
  <c r="AB19" i="39"/>
  <c r="Z19" i="39"/>
  <c r="U19" i="39"/>
  <c r="Q19" i="39"/>
  <c r="J19" i="39"/>
  <c r="W19" i="39" s="1"/>
  <c r="H19" i="39"/>
  <c r="F19" i="39"/>
  <c r="AA19" i="39" s="1"/>
  <c r="Z17" i="39"/>
  <c r="U17" i="39"/>
  <c r="Q17" i="39"/>
  <c r="J17" i="39"/>
  <c r="W17" i="39" s="1"/>
  <c r="H17" i="39"/>
  <c r="AB17" i="39" s="1"/>
  <c r="F17" i="39"/>
  <c r="AA17" i="39" s="1"/>
  <c r="AB15" i="39"/>
  <c r="Z15" i="39"/>
  <c r="U15" i="39"/>
  <c r="Q15" i="39"/>
  <c r="J15" i="39"/>
  <c r="H15" i="39"/>
  <c r="F15" i="39"/>
  <c r="AA15" i="39" s="1"/>
  <c r="Z14" i="39"/>
  <c r="U14" i="39"/>
  <c r="Q14" i="39"/>
  <c r="J14" i="39"/>
  <c r="W14" i="39" s="1"/>
  <c r="H14" i="39"/>
  <c r="AB14" i="39" s="1"/>
  <c r="F14" i="39"/>
  <c r="AA14" i="39" s="1"/>
  <c r="AB13" i="39"/>
  <c r="Q13" i="39"/>
  <c r="Z13" i="39" s="1"/>
  <c r="J13" i="39"/>
  <c r="H13" i="39"/>
  <c r="U13" i="39" s="1"/>
  <c r="F13" i="39"/>
  <c r="AA13" i="39" s="1"/>
  <c r="AA12" i="39"/>
  <c r="U12" i="39"/>
  <c r="Q12" i="39"/>
  <c r="Z12" i="39" s="1"/>
  <c r="J12" i="39"/>
  <c r="H12" i="39"/>
  <c r="AB12" i="39" s="1"/>
  <c r="F12" i="39"/>
  <c r="S12" i="39" s="1"/>
  <c r="Q11" i="39"/>
  <c r="Z11" i="39" s="1"/>
  <c r="J11" i="39"/>
  <c r="H11" i="39"/>
  <c r="AB11" i="39" s="1"/>
  <c r="F11" i="39"/>
  <c r="AA11" i="39" s="1"/>
  <c r="Q10" i="39"/>
  <c r="Z10" i="39" s="1"/>
  <c r="AC9" i="39"/>
  <c r="AA9" i="39"/>
  <c r="W9" i="39"/>
  <c r="Q9" i="39"/>
  <c r="Z9" i="39" s="1"/>
  <c r="J9" i="39"/>
  <c r="H9" i="39"/>
  <c r="AB9" i="39" s="1"/>
  <c r="F9" i="39"/>
  <c r="S9" i="39" s="1"/>
  <c r="AB8" i="39"/>
  <c r="AA8" i="39"/>
  <c r="W8" i="39"/>
  <c r="S8" i="39"/>
  <c r="J8" i="39"/>
  <c r="AC8" i="39" s="1"/>
  <c r="H8" i="39"/>
  <c r="U8" i="39" s="1"/>
  <c r="F8" i="39"/>
  <c r="B95" i="36"/>
  <c r="H34" i="36" s="1"/>
  <c r="B93" i="36"/>
  <c r="F33" i="36" s="1"/>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B33" i="36"/>
  <c r="Z33" i="36"/>
  <c r="U33" i="36"/>
  <c r="Q33" i="36"/>
  <c r="J33" i="36"/>
  <c r="AC33" i="36" s="1"/>
  <c r="H33" i="36"/>
  <c r="AC32" i="36"/>
  <c r="W32" i="36"/>
  <c r="Q32" i="36"/>
  <c r="Z32" i="36" s="1"/>
  <c r="J32" i="36"/>
  <c r="F32" i="36"/>
  <c r="Z31" i="36"/>
  <c r="Q31" i="36"/>
  <c r="J31" i="36"/>
  <c r="AC31" i="36" s="1"/>
  <c r="H31" i="36"/>
  <c r="F31" i="36"/>
  <c r="AA31" i="36" s="1"/>
  <c r="AC30" i="36"/>
  <c r="AA30" i="36"/>
  <c r="W30" i="36"/>
  <c r="Q30" i="36"/>
  <c r="Z30" i="36" s="1"/>
  <c r="J30" i="36"/>
  <c r="H30" i="36"/>
  <c r="AB30" i="36" s="1"/>
  <c r="F30" i="36"/>
  <c r="S30" i="36" s="1"/>
  <c r="AB29" i="36"/>
  <c r="Z29" i="36"/>
  <c r="U29" i="36"/>
  <c r="Q29" i="36"/>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B23" i="36"/>
  <c r="Z23" i="36"/>
  <c r="U23" i="36"/>
  <c r="Q23" i="36"/>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F12" i="36"/>
  <c r="Z11" i="36"/>
  <c r="Q11" i="36"/>
  <c r="J11" i="36"/>
  <c r="AC11" i="36" s="1"/>
  <c r="H11" i="36"/>
  <c r="F11" i="36"/>
  <c r="AA11" i="36" s="1"/>
  <c r="AC10" i="36"/>
  <c r="AA10" i="36"/>
  <c r="W10" i="36"/>
  <c r="Q10" i="36"/>
  <c r="Z10" i="36" s="1"/>
  <c r="J10" i="36"/>
  <c r="H10" i="36"/>
  <c r="AB10" i="36" s="1"/>
  <c r="F10" i="36"/>
  <c r="S10" i="36" s="1"/>
  <c r="AB9" i="36"/>
  <c r="Z9" i="36"/>
  <c r="Q9" i="36"/>
  <c r="H9" i="36"/>
  <c r="U9" i="36" s="1"/>
  <c r="AB8" i="36"/>
  <c r="U8" i="36"/>
  <c r="J8" i="36"/>
  <c r="W8" i="36" s="1"/>
  <c r="H8" i="36"/>
  <c r="F8" i="36"/>
  <c r="S8" i="36" s="1"/>
  <c r="D3" i="36"/>
  <c r="B2" i="36"/>
  <c r="B3" i="36" s="1"/>
  <c r="B101" i="35"/>
  <c r="B99" i="35"/>
  <c r="B97" i="35"/>
  <c r="J34" i="35" s="1"/>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C35" i="35"/>
  <c r="AA35" i="35"/>
  <c r="W35" i="35"/>
  <c r="Q35" i="35"/>
  <c r="Z35" i="35" s="1"/>
  <c r="J35" i="35"/>
  <c r="H35" i="35"/>
  <c r="AB35" i="35" s="1"/>
  <c r="F35" i="35"/>
  <c r="S35" i="35" s="1"/>
  <c r="Z34" i="35"/>
  <c r="Q34" i="35"/>
  <c r="AC33" i="35"/>
  <c r="AA33" i="35"/>
  <c r="U33" i="35"/>
  <c r="Q33" i="35"/>
  <c r="Z33" i="35" s="1"/>
  <c r="J33" i="35"/>
  <c r="W33" i="35" s="1"/>
  <c r="H33" i="35"/>
  <c r="AB33" i="35" s="1"/>
  <c r="F33" i="35"/>
  <c r="S33" i="35" s="1"/>
  <c r="AB32" i="35"/>
  <c r="Z32" i="35"/>
  <c r="Q32" i="35"/>
  <c r="J32" i="35"/>
  <c r="AC32" i="35" s="1"/>
  <c r="H32" i="35"/>
  <c r="U32" i="35" s="1"/>
  <c r="F32" i="35"/>
  <c r="AA32" i="35" s="1"/>
  <c r="AB31" i="35"/>
  <c r="Z31" i="35"/>
  <c r="U31" i="35"/>
  <c r="Q31" i="35"/>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Q26" i="35"/>
  <c r="Z26" i="35" s="1"/>
  <c r="J26" i="35"/>
  <c r="H26" i="35"/>
  <c r="AB26" i="35" s="1"/>
  <c r="F26" i="35"/>
  <c r="S26" i="35" s="1"/>
  <c r="C26" i="35"/>
  <c r="C79" i="35" s="1"/>
  <c r="AC25" i="35"/>
  <c r="W25" i="35"/>
  <c r="Q25" i="35"/>
  <c r="Z25" i="35" s="1"/>
  <c r="J25" i="35"/>
  <c r="F25" i="35"/>
  <c r="AA25" i="35" s="1"/>
  <c r="Z24" i="35"/>
  <c r="Q24" i="35"/>
  <c r="J24" i="35"/>
  <c r="AC24" i="35" s="1"/>
  <c r="H24" i="35"/>
  <c r="F24" i="35"/>
  <c r="AA24" i="35" s="1"/>
  <c r="AC23" i="35"/>
  <c r="W23" i="35"/>
  <c r="Q23" i="35"/>
  <c r="Z23" i="35" s="1"/>
  <c r="J23" i="35"/>
  <c r="F23" i="35"/>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S16" i="35" s="1"/>
  <c r="C16" i="35"/>
  <c r="AA14" i="35"/>
  <c r="Q14" i="35"/>
  <c r="Z14" i="35" s="1"/>
  <c r="J14" i="35"/>
  <c r="H14" i="35"/>
  <c r="AB14" i="35" s="1"/>
  <c r="F14" i="35"/>
  <c r="S14" i="35" s="1"/>
  <c r="C14" i="35"/>
  <c r="AC13" i="35"/>
  <c r="W13" i="35"/>
  <c r="Q13" i="35"/>
  <c r="Z13" i="35" s="1"/>
  <c r="J13" i="35"/>
  <c r="H13" i="35"/>
  <c r="AB13" i="35" s="1"/>
  <c r="F13" i="35"/>
  <c r="AA13" i="35" s="1"/>
  <c r="AB12" i="35"/>
  <c r="Z12" i="35"/>
  <c r="Q12" i="35"/>
  <c r="H12" i="35"/>
  <c r="U12" i="35" s="1"/>
  <c r="Q11" i="35"/>
  <c r="Z11" i="35" s="1"/>
  <c r="J11" i="35"/>
  <c r="AC11" i="35" s="1"/>
  <c r="H11" i="35"/>
  <c r="AB11" i="35" s="1"/>
  <c r="F11" i="35"/>
  <c r="AA11" i="35" s="1"/>
  <c r="Q10" i="35"/>
  <c r="Z10" i="35" s="1"/>
  <c r="J10" i="35"/>
  <c r="AC10" i="35" s="1"/>
  <c r="H10" i="35"/>
  <c r="AB10" i="35" s="1"/>
  <c r="F10" i="35"/>
  <c r="AA10" i="35" s="1"/>
  <c r="Q9" i="35"/>
  <c r="Z9" i="35" s="1"/>
  <c r="AA8" i="35"/>
  <c r="W8" i="35"/>
  <c r="S8" i="35"/>
  <c r="J8" i="35"/>
  <c r="AC8" i="35" s="1"/>
  <c r="H8" i="35"/>
  <c r="F8" i="35"/>
  <c r="D3" i="35"/>
  <c r="B3" i="35" s="1"/>
  <c r="B2" i="35"/>
  <c r="B112" i="37"/>
  <c r="B110" i="37"/>
  <c r="B108" i="37"/>
  <c r="H107" i="37"/>
  <c r="I107" i="37" s="1"/>
  <c r="J107" i="37" s="1"/>
  <c r="K107" i="37" s="1"/>
  <c r="L107" i="37" s="1"/>
  <c r="M107" i="37" s="1"/>
  <c r="D107" i="37"/>
  <c r="E107" i="37" s="1"/>
  <c r="F107" i="37" s="1"/>
  <c r="G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G96" i="37"/>
  <c r="H96" i="37" s="1"/>
  <c r="I96" i="37" s="1"/>
  <c r="J96" i="37" s="1"/>
  <c r="K96" i="37" s="1"/>
  <c r="L96" i="37" s="1"/>
  <c r="M96" i="37" s="1"/>
  <c r="E96" i="37"/>
  <c r="F96" i="37" s="1"/>
  <c r="D96" i="37"/>
  <c r="G94" i="37"/>
  <c r="H94" i="37" s="1"/>
  <c r="I94" i="37" s="1"/>
  <c r="J94" i="37" s="1"/>
  <c r="K94" i="37" s="1"/>
  <c r="L94" i="37" s="1"/>
  <c r="M94" i="37" s="1"/>
  <c r="E94" i="37"/>
  <c r="F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F12" i="37" s="1"/>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U40" i="37"/>
  <c r="Q40" i="37"/>
  <c r="H40" i="37"/>
  <c r="AB40" i="37" s="1"/>
  <c r="AC39" i="37"/>
  <c r="AA39" i="37"/>
  <c r="W39" i="37"/>
  <c r="Q39" i="37"/>
  <c r="Z39" i="37" s="1"/>
  <c r="J39" i="37"/>
  <c r="H39" i="37"/>
  <c r="AB39" i="37" s="1"/>
  <c r="F39" i="37"/>
  <c r="S39" i="37" s="1"/>
  <c r="AB38" i="37"/>
  <c r="Z38" i="37"/>
  <c r="Q38" i="37"/>
  <c r="H38" i="37"/>
  <c r="U38" i="37" s="1"/>
  <c r="Q37" i="37"/>
  <c r="Z37" i="37" s="1"/>
  <c r="J37" i="37"/>
  <c r="AC37" i="37" s="1"/>
  <c r="H37" i="37"/>
  <c r="AB37" i="37" s="1"/>
  <c r="F37" i="37"/>
  <c r="AA37" i="37" s="1"/>
  <c r="Q36" i="37"/>
  <c r="Z36" i="37" s="1"/>
  <c r="J36" i="37"/>
  <c r="AC36" i="37" s="1"/>
  <c r="H36" i="37"/>
  <c r="AB36" i="37" s="1"/>
  <c r="F36" i="37"/>
  <c r="AA36" i="37" s="1"/>
  <c r="AC35" i="37"/>
  <c r="AA35" i="37"/>
  <c r="W35" i="37"/>
  <c r="Q35" i="37"/>
  <c r="Z35" i="37" s="1"/>
  <c r="J35" i="37"/>
  <c r="H35" i="37"/>
  <c r="AB35" i="37" s="1"/>
  <c r="F35" i="37"/>
  <c r="S35" i="37" s="1"/>
  <c r="AB34" i="37"/>
  <c r="Z34" i="37"/>
  <c r="U34" i="37"/>
  <c r="Q34" i="37"/>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S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Z26" i="37"/>
  <c r="Q26" i="37"/>
  <c r="J26" i="37"/>
  <c r="AC26" i="37" s="1"/>
  <c r="H26" i="37"/>
  <c r="Q25" i="37"/>
  <c r="Z25" i="37" s="1"/>
  <c r="AB23" i="37"/>
  <c r="Z23" i="37"/>
  <c r="U23" i="37"/>
  <c r="Q23" i="37"/>
  <c r="J23" i="37"/>
  <c r="AC23" i="37" s="1"/>
  <c r="H23" i="37"/>
  <c r="F23" i="37"/>
  <c r="AA23" i="37" s="1"/>
  <c r="C23" i="37"/>
  <c r="AB21" i="37"/>
  <c r="Z21" i="37"/>
  <c r="Q21" i="37"/>
  <c r="J21" i="37"/>
  <c r="AC21" i="37" s="1"/>
  <c r="H21" i="37"/>
  <c r="U21" i="37" s="1"/>
  <c r="F21" i="37"/>
  <c r="AA21" i="37" s="1"/>
  <c r="C21" i="37"/>
  <c r="AB19" i="37"/>
  <c r="Z19" i="37"/>
  <c r="Q19" i="37"/>
  <c r="J19" i="37"/>
  <c r="AC19" i="37" s="1"/>
  <c r="H19" i="37"/>
  <c r="U19" i="37" s="1"/>
  <c r="F19" i="37"/>
  <c r="S19" i="37" s="1"/>
  <c r="C19" i="37"/>
  <c r="AB17" i="37"/>
  <c r="Z17" i="37"/>
  <c r="Q17" i="37"/>
  <c r="J17" i="37"/>
  <c r="AC17" i="37" s="1"/>
  <c r="H17" i="37"/>
  <c r="U17" i="37" s="1"/>
  <c r="F17" i="37"/>
  <c r="AA17" i="37" s="1"/>
  <c r="C17" i="37"/>
  <c r="AB15" i="37"/>
  <c r="Z15" i="37"/>
  <c r="Q15" i="37"/>
  <c r="J15" i="37"/>
  <c r="AC15" i="37" s="1"/>
  <c r="H15" i="37"/>
  <c r="U15" i="37" s="1"/>
  <c r="F15" i="37"/>
  <c r="S15" i="37" s="1"/>
  <c r="C15" i="37"/>
  <c r="AB14" i="37"/>
  <c r="Z14" i="37"/>
  <c r="Q14" i="37"/>
  <c r="J14" i="37"/>
  <c r="AC14" i="37" s="1"/>
  <c r="H14" i="37"/>
  <c r="U14" i="37" s="1"/>
  <c r="F14" i="37"/>
  <c r="AA14" i="37" s="1"/>
  <c r="AA13" i="37"/>
  <c r="Q13" i="37"/>
  <c r="Z13" i="37" s="1"/>
  <c r="F13" i="37"/>
  <c r="S13" i="37" s="1"/>
  <c r="AC12" i="37"/>
  <c r="W12" i="37"/>
  <c r="Q12" i="37"/>
  <c r="Z12" i="37" s="1"/>
  <c r="J12" i="37"/>
  <c r="H12" i="37"/>
  <c r="U12" i="37" s="1"/>
  <c r="AB11" i="37"/>
  <c r="Q11" i="37"/>
  <c r="Z11" i="37" s="1"/>
  <c r="J11" i="37"/>
  <c r="H11" i="37"/>
  <c r="U11" i="37" s="1"/>
  <c r="F11" i="37"/>
  <c r="AA11" i="37" s="1"/>
  <c r="AA10" i="37"/>
  <c r="U10" i="37"/>
  <c r="Q10" i="37"/>
  <c r="Z10" i="37" s="1"/>
  <c r="J10" i="37"/>
  <c r="AC10" i="37" s="1"/>
  <c r="H10" i="37"/>
  <c r="AB10" i="37" s="1"/>
  <c r="F10" i="37"/>
  <c r="S10" i="37" s="1"/>
  <c r="Z9" i="37"/>
  <c r="Q9" i="37"/>
  <c r="J9" i="37"/>
  <c r="W9" i="37" s="1"/>
  <c r="H9" i="37"/>
  <c r="AB9" i="37" s="1"/>
  <c r="F9" i="37"/>
  <c r="AA9" i="37" s="1"/>
  <c r="AC8" i="37"/>
  <c r="AB8" i="37"/>
  <c r="W8" i="37"/>
  <c r="U8" i="37"/>
  <c r="J8" i="37"/>
  <c r="H8" i="37"/>
  <c r="F8" i="37"/>
  <c r="B2" i="37"/>
  <c r="B131" i="34"/>
  <c r="B129" i="34"/>
  <c r="B127" i="34"/>
  <c r="F45" i="34" s="1"/>
  <c r="S45" i="34" s="1"/>
  <c r="G126" i="34"/>
  <c r="D126" i="34"/>
  <c r="E126" i="34" s="1"/>
  <c r="F126" i="34" s="1"/>
  <c r="F124" i="34"/>
  <c r="G124" i="34" s="1"/>
  <c r="H124" i="34" s="1"/>
  <c r="I124" i="34" s="1"/>
  <c r="J124" i="34" s="1"/>
  <c r="K124" i="34" s="1"/>
  <c r="L124" i="34" s="1"/>
  <c r="M124" i="34" s="1"/>
  <c r="E124" i="34"/>
  <c r="D124" i="34"/>
  <c r="I120" i="34"/>
  <c r="J120" i="34" s="1"/>
  <c r="K120" i="34" s="1"/>
  <c r="L120" i="34" s="1"/>
  <c r="M120" i="34" s="1"/>
  <c r="G120" i="34"/>
  <c r="H120" i="34" s="1"/>
  <c r="D120" i="34"/>
  <c r="E120" i="34" s="1"/>
  <c r="F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E114" i="34"/>
  <c r="F114" i="34" s="1"/>
  <c r="G114" i="34" s="1"/>
  <c r="D114" i="34"/>
  <c r="J112" i="34"/>
  <c r="K112" i="34" s="1"/>
  <c r="L112" i="34" s="1"/>
  <c r="M112" i="34" s="1"/>
  <c r="G112" i="34"/>
  <c r="H112" i="34" s="1"/>
  <c r="I112" i="34" s="1"/>
  <c r="E112" i="34"/>
  <c r="F112" i="34" s="1"/>
  <c r="D112" i="34"/>
  <c r="G110" i="34"/>
  <c r="F110" i="34"/>
  <c r="E110" i="34"/>
  <c r="D110" i="34"/>
  <c r="C110" i="34"/>
  <c r="L109" i="34"/>
  <c r="M109" i="34" s="1"/>
  <c r="D109" i="34"/>
  <c r="E109" i="34" s="1"/>
  <c r="F109" i="34" s="1"/>
  <c r="G109" i="34" s="1"/>
  <c r="H109" i="34" s="1"/>
  <c r="I109" i="34" s="1"/>
  <c r="J109" i="34" s="1"/>
  <c r="K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K92" i="34"/>
  <c r="L92" i="34" s="1"/>
  <c r="M92" i="34" s="1"/>
  <c r="I92" i="34"/>
  <c r="J92" i="34" s="1"/>
  <c r="F92" i="34"/>
  <c r="G92" i="34" s="1"/>
  <c r="H92" i="34" s="1"/>
  <c r="E92" i="34"/>
  <c r="D92" i="34"/>
  <c r="B91" i="34"/>
  <c r="J28" i="34" s="1"/>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D84" i="34"/>
  <c r="E84" i="34" s="1"/>
  <c r="F84" i="34" s="1"/>
  <c r="G84" i="34" s="1"/>
  <c r="E82" i="34"/>
  <c r="F82" i="34" s="1"/>
  <c r="G82" i="34" s="1"/>
  <c r="D82" i="34"/>
  <c r="D80" i="34"/>
  <c r="E80" i="34" s="1"/>
  <c r="F80" i="34" s="1"/>
  <c r="G80" i="34" s="1"/>
  <c r="E78" i="34"/>
  <c r="F78" i="34" s="1"/>
  <c r="G78" i="34" s="1"/>
  <c r="D78" i="34"/>
  <c r="B75" i="34"/>
  <c r="H14" i="34" s="1"/>
  <c r="U14" i="34" s="1"/>
  <c r="B73" i="34"/>
  <c r="B71" i="34"/>
  <c r="L70" i="34"/>
  <c r="M70" i="34" s="1"/>
  <c r="D70" i="34"/>
  <c r="E70" i="34" s="1"/>
  <c r="F70" i="34" s="1"/>
  <c r="G70" i="34" s="1"/>
  <c r="H70" i="34" s="1"/>
  <c r="I70" i="34" s="1"/>
  <c r="J70" i="34" s="1"/>
  <c r="K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A47" i="34"/>
  <c r="W47" i="34"/>
  <c r="Q47" i="34"/>
  <c r="Z47" i="34" s="1"/>
  <c r="J47" i="34"/>
  <c r="H47" i="34"/>
  <c r="AB47" i="34" s="1"/>
  <c r="F47" i="34"/>
  <c r="S47" i="34" s="1"/>
  <c r="Z46" i="34"/>
  <c r="Q46" i="34"/>
  <c r="J46" i="34"/>
  <c r="AC45" i="34"/>
  <c r="AA45" i="34"/>
  <c r="U45" i="34"/>
  <c r="Q45" i="34"/>
  <c r="Z45" i="34" s="1"/>
  <c r="J45" i="34"/>
  <c r="W45" i="34" s="1"/>
  <c r="H45" i="34"/>
  <c r="AB45" i="34" s="1"/>
  <c r="AB44" i="34"/>
  <c r="Z44" i="34"/>
  <c r="Q44" i="34"/>
  <c r="J44" i="34"/>
  <c r="AC44" i="34" s="1"/>
  <c r="H44" i="34"/>
  <c r="U44" i="34" s="1"/>
  <c r="F44" i="34"/>
  <c r="AA44" i="34" s="1"/>
  <c r="AC43" i="34"/>
  <c r="AA43" i="34"/>
  <c r="W43" i="34"/>
  <c r="Q43" i="34"/>
  <c r="Z43" i="34" s="1"/>
  <c r="J43" i="34"/>
  <c r="H43" i="34"/>
  <c r="AB43" i="34" s="1"/>
  <c r="F43" i="34"/>
  <c r="S43" i="34" s="1"/>
  <c r="Z42" i="34"/>
  <c r="U42" i="34"/>
  <c r="Q42" i="34"/>
  <c r="J42" i="34"/>
  <c r="W42" i="34" s="1"/>
  <c r="H42" i="34"/>
  <c r="AB42" i="34" s="1"/>
  <c r="F42" i="34"/>
  <c r="AA42" i="34" s="1"/>
  <c r="AB41" i="34"/>
  <c r="Q41" i="34"/>
  <c r="Z41" i="34" s="1"/>
  <c r="J41" i="34"/>
  <c r="H41" i="34"/>
  <c r="U41" i="34" s="1"/>
  <c r="F41" i="34"/>
  <c r="AA41" i="34" s="1"/>
  <c r="AA40" i="34"/>
  <c r="U40" i="34"/>
  <c r="Q40" i="34"/>
  <c r="Z40" i="34" s="1"/>
  <c r="J40" i="34"/>
  <c r="AC40" i="34" s="1"/>
  <c r="H40" i="34"/>
  <c r="AB40" i="34" s="1"/>
  <c r="F40" i="34"/>
  <c r="S40" i="34" s="1"/>
  <c r="Z39" i="34"/>
  <c r="Q39" i="34"/>
  <c r="J39" i="34"/>
  <c r="W39" i="34" s="1"/>
  <c r="H39" i="34"/>
  <c r="AB39" i="34" s="1"/>
  <c r="F39" i="34"/>
  <c r="AA39" i="34" s="1"/>
  <c r="W38" i="34"/>
  <c r="Q38" i="34"/>
  <c r="Z38" i="34" s="1"/>
  <c r="J38" i="34"/>
  <c r="AC38" i="34" s="1"/>
  <c r="H38" i="34"/>
  <c r="U38" i="34" s="1"/>
  <c r="F38" i="34"/>
  <c r="AA38" i="34" s="1"/>
  <c r="AC37" i="34"/>
  <c r="AA37" i="34"/>
  <c r="U37" i="34"/>
  <c r="Q37" i="34"/>
  <c r="Z37" i="34" s="1"/>
  <c r="J37" i="34"/>
  <c r="W37" i="34" s="1"/>
  <c r="H37" i="34"/>
  <c r="AB37" i="34" s="1"/>
  <c r="F37" i="34"/>
  <c r="S37" i="34" s="1"/>
  <c r="AB36" i="34"/>
  <c r="Z36" i="34"/>
  <c r="Q36" i="34"/>
  <c r="J36" i="34"/>
  <c r="AC36" i="34" s="1"/>
  <c r="H36" i="34"/>
  <c r="U36" i="34" s="1"/>
  <c r="F36" i="34"/>
  <c r="AA36" i="34" s="1"/>
  <c r="AA35" i="34"/>
  <c r="W35" i="34"/>
  <c r="Q35" i="34"/>
  <c r="Z35" i="34" s="1"/>
  <c r="J35" i="34"/>
  <c r="AC35" i="34" s="1"/>
  <c r="H35" i="34"/>
  <c r="AB35" i="34" s="1"/>
  <c r="F35" i="34"/>
  <c r="S35" i="34" s="1"/>
  <c r="AB34" i="34"/>
  <c r="Z34" i="34"/>
  <c r="U34" i="34"/>
  <c r="Q34" i="34"/>
  <c r="J34" i="34"/>
  <c r="H34" i="34"/>
  <c r="F34" i="34"/>
  <c r="AA34" i="34" s="1"/>
  <c r="AB33" i="34"/>
  <c r="W33" i="34"/>
  <c r="Q33" i="34"/>
  <c r="Z33" i="34" s="1"/>
  <c r="J33" i="34"/>
  <c r="AC33" i="34" s="1"/>
  <c r="H33" i="34"/>
  <c r="U33" i="34" s="1"/>
  <c r="F33" i="34"/>
  <c r="AA33" i="34" s="1"/>
  <c r="U32" i="34"/>
  <c r="Q32" i="34"/>
  <c r="Z32" i="34" s="1"/>
  <c r="H32" i="34"/>
  <c r="AB32" i="34" s="1"/>
  <c r="F32" i="34"/>
  <c r="S32" i="34" s="1"/>
  <c r="AA31" i="34"/>
  <c r="W31" i="34"/>
  <c r="Q31" i="34"/>
  <c r="Z31" i="34" s="1"/>
  <c r="J31" i="34"/>
  <c r="AC31" i="34" s="1"/>
  <c r="H31" i="34"/>
  <c r="AB31" i="34" s="1"/>
  <c r="F31" i="34"/>
  <c r="S31" i="34" s="1"/>
  <c r="AC30" i="34"/>
  <c r="AB30" i="34"/>
  <c r="Z30" i="34"/>
  <c r="U30" i="34"/>
  <c r="Q30" i="34"/>
  <c r="J30" i="34"/>
  <c r="W30" i="34" s="1"/>
  <c r="H30" i="34"/>
  <c r="Q29" i="34"/>
  <c r="Z29" i="34" s="1"/>
  <c r="H29" i="34"/>
  <c r="Z28" i="34"/>
  <c r="S28" i="34"/>
  <c r="Q28" i="34"/>
  <c r="H28" i="34"/>
  <c r="U28" i="34" s="1"/>
  <c r="F28" i="34"/>
  <c r="AA28" i="34" s="1"/>
  <c r="Z27" i="34"/>
  <c r="Q27" i="34"/>
  <c r="J27" i="34"/>
  <c r="W27" i="34" s="1"/>
  <c r="H27" i="34"/>
  <c r="AB27" i="34" s="1"/>
  <c r="F27" i="34"/>
  <c r="AA27" i="34" s="1"/>
  <c r="W25" i="34"/>
  <c r="Q25" i="34"/>
  <c r="Z25" i="34" s="1"/>
  <c r="J25" i="34"/>
  <c r="AC25" i="34" s="1"/>
  <c r="H25" i="34"/>
  <c r="U25" i="34" s="1"/>
  <c r="F25" i="34"/>
  <c r="AA25" i="34" s="1"/>
  <c r="AC23" i="34"/>
  <c r="AA23" i="34"/>
  <c r="Q23" i="34"/>
  <c r="Z23" i="34" s="1"/>
  <c r="J23" i="34"/>
  <c r="W23" i="34" s="1"/>
  <c r="H23" i="34"/>
  <c r="F23" i="34"/>
  <c r="S23" i="34" s="1"/>
  <c r="C23" i="34"/>
  <c r="AB21" i="34"/>
  <c r="W21" i="34"/>
  <c r="Q21" i="34"/>
  <c r="Z21" i="34" s="1"/>
  <c r="J21" i="34"/>
  <c r="AC21" i="34" s="1"/>
  <c r="H21" i="34"/>
  <c r="U21" i="34" s="1"/>
  <c r="F21" i="34"/>
  <c r="AA21" i="34" s="1"/>
  <c r="C21" i="34"/>
  <c r="AC19" i="34"/>
  <c r="AA19" i="34"/>
  <c r="Q19" i="34"/>
  <c r="Z19" i="34" s="1"/>
  <c r="J19" i="34"/>
  <c r="W19" i="34" s="1"/>
  <c r="H19" i="34"/>
  <c r="F19" i="34"/>
  <c r="S19" i="34" s="1"/>
  <c r="C19" i="34"/>
  <c r="AB17" i="34"/>
  <c r="Q17" i="34"/>
  <c r="Z17" i="34" s="1"/>
  <c r="J17" i="34"/>
  <c r="AC17" i="34" s="1"/>
  <c r="H17" i="34"/>
  <c r="U17" i="34" s="1"/>
  <c r="F17" i="34"/>
  <c r="AA17" i="34" s="1"/>
  <c r="C17" i="34"/>
  <c r="AC15" i="34"/>
  <c r="AA15" i="34"/>
  <c r="Q15" i="34"/>
  <c r="Z15" i="34" s="1"/>
  <c r="J15" i="34"/>
  <c r="W15" i="34" s="1"/>
  <c r="H15" i="34"/>
  <c r="F15" i="34"/>
  <c r="S15" i="34" s="1"/>
  <c r="C15" i="34"/>
  <c r="AB14" i="34"/>
  <c r="W14" i="34"/>
  <c r="Q14" i="34"/>
  <c r="Z14" i="34" s="1"/>
  <c r="J14" i="34"/>
  <c r="AC14" i="34" s="1"/>
  <c r="F14" i="34"/>
  <c r="AA13" i="34"/>
  <c r="U13" i="34"/>
  <c r="Q13" i="34"/>
  <c r="Z13" i="34" s="1"/>
  <c r="J13" i="34"/>
  <c r="AC13" i="34" s="1"/>
  <c r="H13" i="34"/>
  <c r="AB13" i="34" s="1"/>
  <c r="F13" i="34"/>
  <c r="S13" i="34" s="1"/>
  <c r="Z12" i="34"/>
  <c r="Q12" i="34"/>
  <c r="Z11" i="34"/>
  <c r="U11" i="34"/>
  <c r="Q11" i="34"/>
  <c r="J11" i="34"/>
  <c r="W11" i="34" s="1"/>
  <c r="H11" i="34"/>
  <c r="AB11" i="34" s="1"/>
  <c r="F11" i="34"/>
  <c r="AA11" i="34" s="1"/>
  <c r="AB10" i="34"/>
  <c r="Q10" i="34"/>
  <c r="Z10" i="34" s="1"/>
  <c r="J10" i="34"/>
  <c r="AC10" i="34" s="1"/>
  <c r="H10" i="34"/>
  <c r="U10" i="34" s="1"/>
  <c r="F10" i="34"/>
  <c r="AA10" i="34" s="1"/>
  <c r="Q9" i="34"/>
  <c r="Z9" i="34" s="1"/>
  <c r="AA8" i="34"/>
  <c r="U8" i="34"/>
  <c r="J8" i="34"/>
  <c r="AC8" i="34" s="1"/>
  <c r="H8" i="34"/>
  <c r="AB8" i="34" s="1"/>
  <c r="F8" i="34"/>
  <c r="S8" i="34" s="1"/>
  <c r="B2" i="34"/>
  <c r="B130" i="33"/>
  <c r="H46" i="33" s="1"/>
  <c r="AB46" i="33" s="1"/>
  <c r="B128" i="33"/>
  <c r="B126" i="33"/>
  <c r="E125" i="33"/>
  <c r="F125" i="33" s="1"/>
  <c r="G125" i="33" s="1"/>
  <c r="D125" i="33"/>
  <c r="J123" i="33"/>
  <c r="K123" i="33" s="1"/>
  <c r="L123" i="33" s="1"/>
  <c r="M123" i="33" s="1"/>
  <c r="G123" i="33"/>
  <c r="H123" i="33" s="1"/>
  <c r="I123" i="33" s="1"/>
  <c r="D123" i="33"/>
  <c r="E123" i="33" s="1"/>
  <c r="F123" i="33" s="1"/>
  <c r="F121" i="33"/>
  <c r="G121" i="33" s="1"/>
  <c r="H121" i="33" s="1"/>
  <c r="I121" i="33" s="1"/>
  <c r="J121" i="33" s="1"/>
  <c r="K121" i="33" s="1"/>
  <c r="L121" i="33" s="1"/>
  <c r="M121" i="33" s="1"/>
  <c r="D121" i="33"/>
  <c r="E121" i="33" s="1"/>
  <c r="E117" i="33"/>
  <c r="F117" i="33" s="1"/>
  <c r="G117" i="33" s="1"/>
  <c r="D117" i="33"/>
  <c r="L115" i="33"/>
  <c r="M115" i="33" s="1"/>
  <c r="D115" i="33"/>
  <c r="E115" i="33" s="1"/>
  <c r="F115" i="33" s="1"/>
  <c r="G115" i="33" s="1"/>
  <c r="H115" i="33" s="1"/>
  <c r="I115" i="33" s="1"/>
  <c r="J115" i="33" s="1"/>
  <c r="K115" i="33" s="1"/>
  <c r="D113" i="33"/>
  <c r="E113" i="33" s="1"/>
  <c r="F113" i="33" s="1"/>
  <c r="G113" i="33" s="1"/>
  <c r="H113" i="33" s="1"/>
  <c r="I113" i="33" s="1"/>
  <c r="J113" i="33" s="1"/>
  <c r="K113" i="33" s="1"/>
  <c r="L113" i="33" s="1"/>
  <c r="M113" i="33" s="1"/>
  <c r="K111" i="33"/>
  <c r="L111" i="33" s="1"/>
  <c r="M111" i="33" s="1"/>
  <c r="H111" i="33"/>
  <c r="I111" i="33" s="1"/>
  <c r="J111" i="33" s="1"/>
  <c r="F111" i="33"/>
  <c r="G111" i="33" s="1"/>
  <c r="D111" i="33"/>
  <c r="E111" i="33" s="1"/>
  <c r="G109" i="33"/>
  <c r="F109" i="33"/>
  <c r="E109" i="33"/>
  <c r="D109" i="33"/>
  <c r="C109" i="33"/>
  <c r="F108" i="33"/>
  <c r="G108" i="33" s="1"/>
  <c r="H108" i="33" s="1"/>
  <c r="I108" i="33" s="1"/>
  <c r="J108" i="33" s="1"/>
  <c r="K108" i="33" s="1"/>
  <c r="L108" i="33" s="1"/>
  <c r="M108" i="33" s="1"/>
  <c r="E108" i="33"/>
  <c r="D108" i="33"/>
  <c r="I106" i="33"/>
  <c r="J106" i="33" s="1"/>
  <c r="K106" i="33" s="1"/>
  <c r="L106" i="33" s="1"/>
  <c r="M106" i="33" s="1"/>
  <c r="G106" i="33"/>
  <c r="H106" i="33" s="1"/>
  <c r="D106" i="33"/>
  <c r="E106" i="33" s="1"/>
  <c r="F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J91" i="33"/>
  <c r="K91" i="33" s="1"/>
  <c r="L91" i="33" s="1"/>
  <c r="M91" i="33" s="1"/>
  <c r="G91" i="33"/>
  <c r="H91" i="33" s="1"/>
  <c r="I91" i="33" s="1"/>
  <c r="D91" i="33"/>
  <c r="E91" i="33" s="1"/>
  <c r="F91" i="33" s="1"/>
  <c r="B90" i="33"/>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D79" i="33"/>
  <c r="E79" i="33" s="1"/>
  <c r="F79" i="33" s="1"/>
  <c r="G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AC45" i="33"/>
  <c r="AA45" i="33"/>
  <c r="Q45" i="33"/>
  <c r="Z45" i="33" s="1"/>
  <c r="J45" i="33"/>
  <c r="W45" i="33" s="1"/>
  <c r="H45" i="33"/>
  <c r="AB45" i="33" s="1"/>
  <c r="F45" i="33"/>
  <c r="S45" i="33" s="1"/>
  <c r="Z44" i="33"/>
  <c r="Q44" i="33"/>
  <c r="H44" i="33"/>
  <c r="U44" i="33" s="1"/>
  <c r="AC43" i="33"/>
  <c r="Q43" i="33"/>
  <c r="Z43" i="33" s="1"/>
  <c r="J43" i="33"/>
  <c r="W43" i="33" s="1"/>
  <c r="H43" i="33"/>
  <c r="AB43" i="33" s="1"/>
  <c r="F43" i="33"/>
  <c r="AA43" i="33" s="1"/>
  <c r="AB42" i="33"/>
  <c r="Q42" i="33"/>
  <c r="Z42" i="33" s="1"/>
  <c r="J42" i="33"/>
  <c r="AC42" i="33" s="1"/>
  <c r="H42" i="33"/>
  <c r="U42" i="33" s="1"/>
  <c r="F42" i="33"/>
  <c r="AA42" i="33" s="1"/>
  <c r="AA41" i="33"/>
  <c r="Q41" i="33"/>
  <c r="Z41" i="33" s="1"/>
  <c r="J41" i="33"/>
  <c r="H41" i="33"/>
  <c r="AB41" i="33" s="1"/>
  <c r="F41" i="33"/>
  <c r="S41" i="33" s="1"/>
  <c r="Z40" i="33"/>
  <c r="Q40" i="33"/>
  <c r="J40" i="33"/>
  <c r="AC40" i="33" s="1"/>
  <c r="H40" i="33"/>
  <c r="U40" i="33" s="1"/>
  <c r="F40" i="33"/>
  <c r="AA40" i="33" s="1"/>
  <c r="AA39" i="33"/>
  <c r="Q39" i="33"/>
  <c r="Z39" i="33" s="1"/>
  <c r="J39" i="33"/>
  <c r="H39" i="33"/>
  <c r="AB39" i="33" s="1"/>
  <c r="F39" i="33"/>
  <c r="S39" i="33" s="1"/>
  <c r="Z38" i="33"/>
  <c r="U38" i="33"/>
  <c r="Q38" i="33"/>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W35" i="33" s="1"/>
  <c r="H35" i="33"/>
  <c r="AB35" i="33" s="1"/>
  <c r="F35" i="33"/>
  <c r="AA35" i="33" s="1"/>
  <c r="Q34" i="33"/>
  <c r="Z34" i="33" s="1"/>
  <c r="J34" i="33"/>
  <c r="AC34" i="33" s="1"/>
  <c r="H34" i="33"/>
  <c r="U34" i="33" s="1"/>
  <c r="F34" i="33"/>
  <c r="AA34" i="33" s="1"/>
  <c r="AA33" i="33"/>
  <c r="W33" i="33"/>
  <c r="Q33" i="33"/>
  <c r="Z33" i="33" s="1"/>
  <c r="J33" i="33"/>
  <c r="AC33" i="33" s="1"/>
  <c r="H33" i="33"/>
  <c r="AB33" i="33" s="1"/>
  <c r="F33" i="33"/>
  <c r="S33" i="33" s="1"/>
  <c r="Z32" i="33"/>
  <c r="U32" i="33"/>
  <c r="Q32" i="33"/>
  <c r="J32" i="33"/>
  <c r="AC32" i="33" s="1"/>
  <c r="H32" i="33"/>
  <c r="AB32" i="33" s="1"/>
  <c r="F32" i="33"/>
  <c r="AA32" i="33" s="1"/>
  <c r="AA31" i="33"/>
  <c r="Q31" i="33"/>
  <c r="Z31" i="33" s="1"/>
  <c r="J31" i="33"/>
  <c r="AC31" i="33" s="1"/>
  <c r="H31" i="33"/>
  <c r="AB31" i="33" s="1"/>
  <c r="F31" i="33"/>
  <c r="S31" i="33" s="1"/>
  <c r="Z30" i="33"/>
  <c r="Q30" i="33"/>
  <c r="J30" i="33"/>
  <c r="AC30" i="33" s="1"/>
  <c r="H30" i="33"/>
  <c r="F30" i="33"/>
  <c r="AA30" i="33" s="1"/>
  <c r="Q29" i="33"/>
  <c r="Z29" i="33" s="1"/>
  <c r="Z28" i="33"/>
  <c r="Q28" i="33"/>
  <c r="J28" i="33"/>
  <c r="AC28" i="33" s="1"/>
  <c r="H28" i="33"/>
  <c r="U28" i="33" s="1"/>
  <c r="F28" i="33"/>
  <c r="AA28" i="33" s="1"/>
  <c r="AA27" i="33"/>
  <c r="Q27" i="33"/>
  <c r="Z27" i="33" s="1"/>
  <c r="J27" i="33"/>
  <c r="AC27" i="33" s="1"/>
  <c r="H27" i="33"/>
  <c r="AB27" i="33" s="1"/>
  <c r="F27" i="33"/>
  <c r="S27" i="33" s="1"/>
  <c r="Z26" i="33"/>
  <c r="Q26" i="33"/>
  <c r="H26" i="33"/>
  <c r="Q25" i="33"/>
  <c r="Z25" i="33" s="1"/>
  <c r="J25" i="33"/>
  <c r="W25" i="33" s="1"/>
  <c r="H25" i="33"/>
  <c r="AB25" i="33" s="1"/>
  <c r="F25" i="33"/>
  <c r="AA25" i="33" s="1"/>
  <c r="Z23" i="33"/>
  <c r="Q23" i="33"/>
  <c r="J23" i="33"/>
  <c r="AC23" i="33" s="1"/>
  <c r="H23" i="33"/>
  <c r="U23" i="33" s="1"/>
  <c r="F23" i="33"/>
  <c r="AA23" i="33" s="1"/>
  <c r="C23" i="33"/>
  <c r="Z21" i="33"/>
  <c r="Q21" i="33"/>
  <c r="J21" i="33"/>
  <c r="AC21" i="33" s="1"/>
  <c r="H21" i="33"/>
  <c r="U21" i="33" s="1"/>
  <c r="F21" i="33"/>
  <c r="AA21" i="33" s="1"/>
  <c r="C21" i="33"/>
  <c r="Q19" i="33"/>
  <c r="Z19" i="33" s="1"/>
  <c r="J19" i="33"/>
  <c r="AC19" i="33" s="1"/>
  <c r="H19" i="33"/>
  <c r="U19" i="33" s="1"/>
  <c r="F19" i="33"/>
  <c r="AA19" i="33" s="1"/>
  <c r="C19" i="33"/>
  <c r="Q17" i="33"/>
  <c r="Z17" i="33" s="1"/>
  <c r="J17" i="33"/>
  <c r="AC17" i="33" s="1"/>
  <c r="H17" i="33"/>
  <c r="U17" i="33" s="1"/>
  <c r="F17" i="33"/>
  <c r="AA17" i="33" s="1"/>
  <c r="C17" i="33"/>
  <c r="Z15" i="33"/>
  <c r="Q15" i="33"/>
  <c r="J15" i="33"/>
  <c r="AC15" i="33" s="1"/>
  <c r="H15" i="33"/>
  <c r="U15" i="33" s="1"/>
  <c r="F15" i="33"/>
  <c r="AA15" i="33" s="1"/>
  <c r="C15" i="33"/>
  <c r="Z14" i="33"/>
  <c r="Q14" i="33"/>
  <c r="J14" i="33"/>
  <c r="AC14" i="33" s="1"/>
  <c r="H14" i="33"/>
  <c r="U14" i="33" s="1"/>
  <c r="F14" i="33"/>
  <c r="AA14" i="33" s="1"/>
  <c r="Q13" i="33"/>
  <c r="Z13" i="33" s="1"/>
  <c r="J13" i="33"/>
  <c r="AC13" i="33" s="1"/>
  <c r="U12" i="33"/>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W9" i="33" s="1"/>
  <c r="H9" i="33"/>
  <c r="AB9" i="33" s="1"/>
  <c r="F9" i="33"/>
  <c r="AA9" i="33" s="1"/>
  <c r="AC8" i="33"/>
  <c r="W8" i="33"/>
  <c r="S8" i="33"/>
  <c r="J8" i="33"/>
  <c r="H8" i="33"/>
  <c r="U8" i="33" s="1"/>
  <c r="F8" i="33"/>
  <c r="AA8" i="33" s="1"/>
  <c r="B2" i="33"/>
  <c r="C145" i="21"/>
  <c r="J142" i="21"/>
  <c r="K141" i="21"/>
  <c r="J140" i="21"/>
  <c r="K139" i="21"/>
  <c r="K143" i="21" s="1"/>
  <c r="B130" i="21"/>
  <c r="B128" i="21"/>
  <c r="H45" i="21" s="1"/>
  <c r="B126" i="21"/>
  <c r="F44" i="21" s="1"/>
  <c r="E125" i="21"/>
  <c r="F125" i="21" s="1"/>
  <c r="G125" i="21" s="1"/>
  <c r="D125" i="21"/>
  <c r="I123" i="21"/>
  <c r="J123" i="21" s="1"/>
  <c r="K123" i="21" s="1"/>
  <c r="L123" i="21" s="1"/>
  <c r="M123" i="21" s="1"/>
  <c r="F123" i="21"/>
  <c r="G123" i="21" s="1"/>
  <c r="H123" i="21" s="1"/>
  <c r="E123" i="21"/>
  <c r="D123" i="21"/>
  <c r="E119" i="21"/>
  <c r="F119" i="21" s="1"/>
  <c r="G119" i="21" s="1"/>
  <c r="H119" i="21" s="1"/>
  <c r="I119" i="21" s="1"/>
  <c r="J119" i="21" s="1"/>
  <c r="K119" i="21" s="1"/>
  <c r="L119" i="21" s="1"/>
  <c r="M119" i="21" s="1"/>
  <c r="D119" i="2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J108" i="21"/>
  <c r="K108" i="21" s="1"/>
  <c r="L108" i="21" s="1"/>
  <c r="M108" i="21" s="1"/>
  <c r="E108" i="21"/>
  <c r="F108" i="21" s="1"/>
  <c r="G108" i="21" s="1"/>
  <c r="H108" i="21" s="1"/>
  <c r="I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D101" i="21"/>
  <c r="E101" i="21" s="1"/>
  <c r="F101" i="21" s="1"/>
  <c r="G101" i="21" s="1"/>
  <c r="H101" i="21" s="1"/>
  <c r="I101" i="21" s="1"/>
  <c r="J101" i="21" s="1"/>
  <c r="K101" i="21" s="1"/>
  <c r="L101" i="21" s="1"/>
  <c r="B98" i="21"/>
  <c r="F31" i="21" s="1"/>
  <c r="B96" i="21"/>
  <c r="B94" i="21"/>
  <c r="B92" i="21"/>
  <c r="H28" i="21" s="1"/>
  <c r="B90" i="21"/>
  <c r="F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F81" i="21"/>
  <c r="G81" i="21" s="1"/>
  <c r="E81" i="21"/>
  <c r="D81" i="21"/>
  <c r="E79" i="21"/>
  <c r="F79" i="21" s="1"/>
  <c r="G79" i="21" s="1"/>
  <c r="D79" i="21"/>
  <c r="D77" i="21"/>
  <c r="E77" i="21" s="1"/>
  <c r="F77" i="21" s="1"/>
  <c r="G77" i="21" s="1"/>
  <c r="B74" i="21"/>
  <c r="B72" i="21"/>
  <c r="B70" i="21"/>
  <c r="G69" i="21"/>
  <c r="H69" i="21" s="1"/>
  <c r="I69" i="21" s="1"/>
  <c r="J69" i="21" s="1"/>
  <c r="K69" i="21" s="1"/>
  <c r="L69" i="21" s="1"/>
  <c r="M69" i="21" s="1"/>
  <c r="F69" i="21"/>
  <c r="E69" i="21"/>
  <c r="D69" i="21"/>
  <c r="M67" i="21"/>
  <c r="L67" i="21"/>
  <c r="K67" i="21"/>
  <c r="J67" i="21"/>
  <c r="I67" i="21"/>
  <c r="H67" i="21"/>
  <c r="G67" i="21"/>
  <c r="F67" i="21"/>
  <c r="E67" i="21"/>
  <c r="D67" i="21"/>
  <c r="C67" i="21"/>
  <c r="C63" i="21"/>
  <c r="I54" i="21"/>
  <c r="J54" i="21" s="1"/>
  <c r="G54" i="21"/>
  <c r="H54" i="21" s="1"/>
  <c r="F54" i="21"/>
  <c r="E54" i="21"/>
  <c r="P49" i="21"/>
  <c r="P48" i="21"/>
  <c r="K48" i="21"/>
  <c r="V47" i="21"/>
  <c r="T47" i="21"/>
  <c r="R47" i="21"/>
  <c r="P47" i="21"/>
  <c r="Z46" i="21"/>
  <c r="U46" i="21"/>
  <c r="Q46" i="21"/>
  <c r="J46" i="21"/>
  <c r="AC46" i="21" s="1"/>
  <c r="H46" i="21"/>
  <c r="AB46" i="21" s="1"/>
  <c r="F46" i="21"/>
  <c r="S46" i="21" s="1"/>
  <c r="Z45" i="21"/>
  <c r="Q45" i="21"/>
  <c r="J45" i="21"/>
  <c r="F45" i="21"/>
  <c r="S45" i="21" s="1"/>
  <c r="Z44" i="21"/>
  <c r="Q44" i="21"/>
  <c r="J44" i="21"/>
  <c r="H44" i="21"/>
  <c r="U44" i="21" s="1"/>
  <c r="AB43" i="21"/>
  <c r="AA43" i="21"/>
  <c r="Q43" i="21"/>
  <c r="Z43" i="21" s="1"/>
  <c r="J43" i="21"/>
  <c r="W43" i="21" s="1"/>
  <c r="H43" i="21"/>
  <c r="U43" i="21" s="1"/>
  <c r="F43" i="21"/>
  <c r="S43" i="21" s="1"/>
  <c r="AB42" i="21"/>
  <c r="AA42" i="21"/>
  <c r="Q42" i="21"/>
  <c r="Z42" i="21" s="1"/>
  <c r="J42" i="21"/>
  <c r="AC42" i="21" s="1"/>
  <c r="H42" i="21"/>
  <c r="U42" i="21" s="1"/>
  <c r="F42" i="21"/>
  <c r="S42" i="21" s="1"/>
  <c r="AC41" i="21"/>
  <c r="Z41" i="21"/>
  <c r="W41" i="21"/>
  <c r="Q41" i="21"/>
  <c r="J41" i="21"/>
  <c r="H41" i="21"/>
  <c r="AB41" i="21" s="1"/>
  <c r="F41" i="21"/>
  <c r="AA41" i="21" s="1"/>
  <c r="Z40" i="21"/>
  <c r="Q40" i="21"/>
  <c r="J40" i="21"/>
  <c r="AC40" i="21" s="1"/>
  <c r="H40" i="21"/>
  <c r="F40" i="21"/>
  <c r="AA40" i="21" s="1"/>
  <c r="AC39" i="21"/>
  <c r="AB39" i="21"/>
  <c r="AA39" i="21"/>
  <c r="Q39" i="21"/>
  <c r="Z39" i="21" s="1"/>
  <c r="J39" i="21"/>
  <c r="W39" i="21" s="1"/>
  <c r="H39" i="21"/>
  <c r="U39" i="21" s="1"/>
  <c r="F39" i="21"/>
  <c r="S39" i="21" s="1"/>
  <c r="Z38" i="21"/>
  <c r="U38" i="21"/>
  <c r="Q38" i="21"/>
  <c r="J38" i="21"/>
  <c r="AC38" i="21" s="1"/>
  <c r="H38" i="21"/>
  <c r="AB38" i="21" s="1"/>
  <c r="F38" i="21"/>
  <c r="AA38" i="21" s="1"/>
  <c r="AA37" i="21"/>
  <c r="Z37" i="21"/>
  <c r="W37" i="21"/>
  <c r="Q37" i="21"/>
  <c r="J37" i="21"/>
  <c r="AC37" i="21" s="1"/>
  <c r="H37" i="21"/>
  <c r="AB37" i="21" s="1"/>
  <c r="F37" i="21"/>
  <c r="S37" i="21" s="1"/>
  <c r="AB36" i="21"/>
  <c r="U36" i="21"/>
  <c r="Q36" i="21"/>
  <c r="Z36" i="21" s="1"/>
  <c r="J36" i="21"/>
  <c r="H36" i="21"/>
  <c r="F36" i="21"/>
  <c r="AA36" i="21" s="1"/>
  <c r="AC35" i="21"/>
  <c r="AB35" i="21"/>
  <c r="Q35" i="21"/>
  <c r="Z35" i="21" s="1"/>
  <c r="J35" i="21"/>
  <c r="W35" i="21" s="1"/>
  <c r="H35" i="21"/>
  <c r="U35" i="21" s="1"/>
  <c r="F35" i="21"/>
  <c r="AA35" i="21" s="1"/>
  <c r="AA34" i="21"/>
  <c r="Z34" i="21"/>
  <c r="Q34" i="21"/>
  <c r="J34" i="21"/>
  <c r="AC34" i="21" s="1"/>
  <c r="H34" i="21"/>
  <c r="AB34" i="21" s="1"/>
  <c r="F34" i="21"/>
  <c r="S34" i="21" s="1"/>
  <c r="AA33" i="21"/>
  <c r="Z33" i="21"/>
  <c r="Q33" i="21"/>
  <c r="J33" i="21"/>
  <c r="H33" i="21"/>
  <c r="AB33" i="21" s="1"/>
  <c r="F33" i="21"/>
  <c r="S33" i="21" s="1"/>
  <c r="AC32" i="21"/>
  <c r="AB32" i="21"/>
  <c r="W32" i="21"/>
  <c r="U32" i="21"/>
  <c r="Q32" i="21"/>
  <c r="Z32" i="21" s="1"/>
  <c r="J32" i="21"/>
  <c r="H32" i="21"/>
  <c r="F32" i="21"/>
  <c r="AA32" i="21" s="1"/>
  <c r="Q31" i="21"/>
  <c r="Z31" i="21" s="1"/>
  <c r="J31" i="21"/>
  <c r="AC31" i="21" s="1"/>
  <c r="H31" i="21"/>
  <c r="AB31" i="21" s="1"/>
  <c r="AA30" i="21"/>
  <c r="Q30" i="21"/>
  <c r="Z30" i="21" s="1"/>
  <c r="J30" i="21"/>
  <c r="AC30" i="21" s="1"/>
  <c r="H30" i="21"/>
  <c r="U30" i="21" s="1"/>
  <c r="F30" i="21"/>
  <c r="S30" i="21" s="1"/>
  <c r="Z29" i="21"/>
  <c r="Q29" i="21"/>
  <c r="J29" i="21"/>
  <c r="AC29" i="21" s="1"/>
  <c r="H29" i="21"/>
  <c r="AB29" i="21" s="1"/>
  <c r="F29" i="21"/>
  <c r="S29" i="21" s="1"/>
  <c r="W28" i="21"/>
  <c r="Q28" i="21"/>
  <c r="Z28" i="21" s="1"/>
  <c r="J28" i="21"/>
  <c r="AC28" i="21" s="1"/>
  <c r="F28" i="21"/>
  <c r="AA28" i="21" s="1"/>
  <c r="AC27" i="21"/>
  <c r="AB27" i="21"/>
  <c r="Q27" i="21"/>
  <c r="Z27" i="21" s="1"/>
  <c r="J27" i="21"/>
  <c r="W27" i="21" s="1"/>
  <c r="H27" i="21"/>
  <c r="U27" i="21" s="1"/>
  <c r="AA26" i="21"/>
  <c r="Q26" i="21"/>
  <c r="Z26" i="21" s="1"/>
  <c r="J26" i="21"/>
  <c r="AC26" i="21" s="1"/>
  <c r="H26" i="21"/>
  <c r="U26" i="21" s="1"/>
  <c r="F26" i="21"/>
  <c r="S26" i="21" s="1"/>
  <c r="Z25" i="21"/>
  <c r="Q25" i="21"/>
  <c r="J25" i="21"/>
  <c r="AC25" i="21" s="1"/>
  <c r="H25" i="21"/>
  <c r="AB25" i="21" s="1"/>
  <c r="F25" i="21"/>
  <c r="S25" i="21" s="1"/>
  <c r="W23" i="21"/>
  <c r="Q23" i="21"/>
  <c r="Z23" i="21" s="1"/>
  <c r="J23" i="21"/>
  <c r="AC23" i="21" s="1"/>
  <c r="H23" i="21"/>
  <c r="AB23" i="21" s="1"/>
  <c r="F23" i="21"/>
  <c r="AA23" i="21" s="1"/>
  <c r="C23" i="21"/>
  <c r="W21" i="21"/>
  <c r="Q21" i="21"/>
  <c r="Z21" i="21" s="1"/>
  <c r="J21" i="21"/>
  <c r="AC21" i="21" s="1"/>
  <c r="H21" i="21"/>
  <c r="AB21" i="21" s="1"/>
  <c r="F21" i="21"/>
  <c r="AA21" i="21" s="1"/>
  <c r="C21" i="21"/>
  <c r="W19" i="21"/>
  <c r="Q19" i="21"/>
  <c r="Z19" i="21" s="1"/>
  <c r="J19" i="21"/>
  <c r="AC19" i="21" s="1"/>
  <c r="H19" i="21"/>
  <c r="AB19" i="21" s="1"/>
  <c r="F19" i="21"/>
  <c r="AA19" i="21" s="1"/>
  <c r="C19" i="21"/>
  <c r="Q17" i="21"/>
  <c r="Z17" i="21" s="1"/>
  <c r="J17" i="21"/>
  <c r="H17" i="21"/>
  <c r="AB17" i="21" s="1"/>
  <c r="F17" i="21"/>
  <c r="AA17" i="21" s="1"/>
  <c r="C17" i="21"/>
  <c r="Q15" i="21"/>
  <c r="Z15" i="21" s="1"/>
  <c r="J15" i="21"/>
  <c r="W15" i="21" s="1"/>
  <c r="H15" i="21"/>
  <c r="AB15" i="21" s="1"/>
  <c r="F15" i="21"/>
  <c r="AA15" i="21" s="1"/>
  <c r="C15" i="21"/>
  <c r="AC14" i="21"/>
  <c r="W14" i="21"/>
  <c r="Q14" i="21"/>
  <c r="Z14" i="21" s="1"/>
  <c r="J14" i="21"/>
  <c r="H14" i="21"/>
  <c r="AB14" i="21" s="1"/>
  <c r="F14" i="21"/>
  <c r="AA14" i="21" s="1"/>
  <c r="AB13" i="21"/>
  <c r="U13" i="21"/>
  <c r="Q13" i="21"/>
  <c r="Z13" i="21" s="1"/>
  <c r="J13" i="21"/>
  <c r="H13" i="21"/>
  <c r="F13" i="21"/>
  <c r="AA13" i="21" s="1"/>
  <c r="AB12" i="21"/>
  <c r="AA12" i="21"/>
  <c r="Q12" i="21"/>
  <c r="Z12" i="21" s="1"/>
  <c r="J12" i="21"/>
  <c r="AC12" i="21" s="1"/>
  <c r="H12" i="21"/>
  <c r="U12" i="21" s="1"/>
  <c r="F12" i="21"/>
  <c r="S12" i="21" s="1"/>
  <c r="AA11" i="21"/>
  <c r="Z11" i="21"/>
  <c r="Q11" i="21"/>
  <c r="J11" i="21"/>
  <c r="AC11" i="21" s="1"/>
  <c r="H11" i="21"/>
  <c r="AB11" i="21" s="1"/>
  <c r="F11" i="21"/>
  <c r="S11" i="21" s="1"/>
  <c r="Z10" i="21"/>
  <c r="Q10" i="21"/>
  <c r="J10" i="21"/>
  <c r="H10" i="21"/>
  <c r="AB10" i="21" s="1"/>
  <c r="F10" i="21"/>
  <c r="AA10" i="21" s="1"/>
  <c r="AB9" i="21"/>
  <c r="U9" i="21"/>
  <c r="Q9" i="21"/>
  <c r="Z9" i="21" s="1"/>
  <c r="J9" i="21"/>
  <c r="H9" i="21"/>
  <c r="F9" i="21"/>
  <c r="AA9" i="21" s="1"/>
  <c r="AB8" i="21"/>
  <c r="AA8" i="21"/>
  <c r="U8" i="21"/>
  <c r="S8" i="21"/>
  <c r="J8" i="21"/>
  <c r="H8" i="21"/>
  <c r="F8" i="21"/>
  <c r="B2" i="21"/>
  <c r="Q72" i="81"/>
  <c r="F61" i="81"/>
  <c r="Q59" i="81"/>
  <c r="K59" i="81"/>
  <c r="F59" i="81"/>
  <c r="Q58" i="81"/>
  <c r="Q51" i="81"/>
  <c r="J50" i="81"/>
  <c r="J49" i="81"/>
  <c r="M47" i="81"/>
  <c r="D46" i="81"/>
  <c r="F33" i="81"/>
  <c r="F31" i="81"/>
  <c r="F23" i="81"/>
  <c r="D23" i="81"/>
  <c r="F21" i="81"/>
  <c r="F20" i="81"/>
  <c r="M19" i="81"/>
  <c r="F18" i="81"/>
  <c r="M17" i="81"/>
  <c r="F15" i="81"/>
  <c r="R43" i="77"/>
  <c r="R40" i="77"/>
  <c r="F36" i="77"/>
  <c r="R34" i="77"/>
  <c r="R33" i="77"/>
  <c r="C30" i="77"/>
  <c r="R27" i="77"/>
  <c r="R25" i="77"/>
  <c r="M24" i="77"/>
  <c r="R23" i="77"/>
  <c r="C23" i="77"/>
  <c r="D23"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14" i="77" s="1"/>
  <c r="R7" i="77"/>
  <c r="R4" i="77"/>
  <c r="R3" i="77"/>
  <c r="P74" i="67"/>
  <c r="Q72" i="67"/>
  <c r="Q59" i="67"/>
  <c r="K59" i="67"/>
  <c r="P61" i="67" s="1"/>
  <c r="F59" i="67"/>
  <c r="Q58" i="67"/>
  <c r="Q51" i="67"/>
  <c r="J50" i="67"/>
  <c r="J51" i="67" s="1"/>
  <c r="M47" i="67"/>
  <c r="D46" i="67"/>
  <c r="F33" i="67"/>
  <c r="F61" i="67" s="1"/>
  <c r="F31" i="67"/>
  <c r="F23" i="67"/>
  <c r="F21" i="67"/>
  <c r="F20" i="67"/>
  <c r="M19" i="67"/>
  <c r="F18" i="67"/>
  <c r="M17" i="67"/>
  <c r="F15" i="67"/>
  <c r="Q72" i="15"/>
  <c r="P61" i="15"/>
  <c r="Q59" i="15"/>
  <c r="K59" i="15"/>
  <c r="P74" i="15" s="1"/>
  <c r="F59" i="15"/>
  <c r="Q58" i="15"/>
  <c r="Q51" i="15"/>
  <c r="J50" i="15"/>
  <c r="J49" i="15"/>
  <c r="M47" i="15"/>
  <c r="D46" i="15"/>
  <c r="F33" i="15"/>
  <c r="F61" i="15" s="1"/>
  <c r="F31" i="15"/>
  <c r="D24" i="15"/>
  <c r="F23" i="15"/>
  <c r="F21" i="15"/>
  <c r="F20" i="15"/>
  <c r="M19" i="15"/>
  <c r="F18" i="15"/>
  <c r="M17" i="15"/>
  <c r="F15" i="15"/>
  <c r="B13" i="70"/>
  <c r="A13" i="70"/>
  <c r="E13" i="70" s="1"/>
  <c r="E12" i="70"/>
  <c r="B12" i="70"/>
  <c r="A12" i="70"/>
  <c r="E11" i="70"/>
  <c r="B11" i="70"/>
  <c r="A11" i="70"/>
  <c r="B10" i="70"/>
  <c r="A10" i="70"/>
  <c r="E10" i="70" s="1"/>
  <c r="B9" i="70"/>
  <c r="A9" i="70"/>
  <c r="E9" i="70" s="1"/>
  <c r="E8" i="70"/>
  <c r="B8" i="70"/>
  <c r="A8" i="70"/>
  <c r="A7" i="70"/>
  <c r="A6" i="70"/>
  <c r="G26" i="12"/>
  <c r="F24" i="12"/>
  <c r="F23" i="12"/>
  <c r="F22" i="12"/>
  <c r="E20" i="12"/>
  <c r="E19" i="12"/>
  <c r="E17" i="12"/>
  <c r="F15" i="12"/>
  <c r="E14" i="12"/>
  <c r="F13" i="12"/>
  <c r="F12" i="12"/>
  <c r="K7" i="12"/>
  <c r="J7" i="12"/>
  <c r="I7" i="12"/>
  <c r="H7" i="12"/>
  <c r="G7" i="12"/>
  <c r="F7" i="12"/>
  <c r="E7" i="12"/>
  <c r="D7" i="12"/>
  <c r="C7" i="12"/>
  <c r="C4" i="12"/>
  <c r="F39" i="69"/>
  <c r="F38" i="69"/>
  <c r="F36" i="69"/>
  <c r="F35" i="69"/>
  <c r="F21" i="69"/>
  <c r="C40" i="69" s="1"/>
  <c r="F20" i="69"/>
  <c r="E10" i="69"/>
  <c r="E9" i="69"/>
  <c r="F7" i="69"/>
  <c r="C7" i="69" s="1"/>
  <c r="H1" i="69"/>
  <c r="C40" i="68"/>
  <c r="F38" i="68"/>
  <c r="E37" i="68"/>
  <c r="F36" i="68"/>
  <c r="F35" i="68"/>
  <c r="F21" i="68"/>
  <c r="F40" i="68" s="1"/>
  <c r="C21" i="68"/>
  <c r="F20" i="68"/>
  <c r="F39" i="68" s="1"/>
  <c r="E10" i="68"/>
  <c r="E9" i="68"/>
  <c r="F7" i="68"/>
  <c r="F116" i="43"/>
  <c r="L112" i="43"/>
  <c r="J112" i="43"/>
  <c r="F112" i="43"/>
  <c r="D112" i="43"/>
  <c r="N111" i="43"/>
  <c r="N112" i="43" s="1"/>
  <c r="M111" i="43"/>
  <c r="M112" i="43" s="1"/>
  <c r="L111" i="43"/>
  <c r="K111" i="43"/>
  <c r="K112" i="43" s="1"/>
  <c r="J111" i="43"/>
  <c r="I111" i="43"/>
  <c r="I112" i="43" s="1"/>
  <c r="H111" i="43"/>
  <c r="H112" i="43" s="1"/>
  <c r="G111" i="43"/>
  <c r="G112" i="43" s="1"/>
  <c r="F111" i="43"/>
  <c r="E111" i="43"/>
  <c r="E112" i="43" s="1"/>
  <c r="D111" i="43"/>
  <c r="C111" i="43"/>
  <c r="C112" i="43" s="1"/>
  <c r="M101" i="43"/>
  <c r="N101" i="43" s="1"/>
  <c r="K101" i="43"/>
  <c r="J101" i="43" s="1"/>
  <c r="H101" i="43"/>
  <c r="D101" i="43"/>
  <c r="B101" i="43"/>
  <c r="M100" i="43"/>
  <c r="N100" i="43" s="1"/>
  <c r="K100" i="43"/>
  <c r="J100" i="43" s="1"/>
  <c r="D100" i="43"/>
  <c r="N99" i="43"/>
  <c r="M99" i="43"/>
  <c r="K99" i="43"/>
  <c r="J99" i="43" s="1"/>
  <c r="H99" i="43"/>
  <c r="D99" i="43"/>
  <c r="B99" i="43"/>
  <c r="M98" i="43"/>
  <c r="N98" i="43" s="1"/>
  <c r="K98" i="43"/>
  <c r="J98" i="43"/>
  <c r="H98" i="43"/>
  <c r="D98" i="43"/>
  <c r="M97" i="43"/>
  <c r="N97" i="43" s="1"/>
  <c r="K97" i="43"/>
  <c r="J97" i="43" s="1"/>
  <c r="D97" i="43"/>
  <c r="N96" i="43"/>
  <c r="M96" i="43"/>
  <c r="K96" i="43"/>
  <c r="J96" i="43" s="1"/>
  <c r="H96" i="43"/>
  <c r="D96" i="43"/>
  <c r="N95" i="43"/>
  <c r="M95" i="43"/>
  <c r="K95" i="43"/>
  <c r="J95" i="43" s="1"/>
  <c r="H95" i="43"/>
  <c r="D95" i="43"/>
  <c r="B95" i="43"/>
  <c r="M94" i="43"/>
  <c r="N94" i="43" s="1"/>
  <c r="K94" i="43"/>
  <c r="J94" i="43"/>
  <c r="D94" i="43"/>
  <c r="B94" i="43"/>
  <c r="N93" i="43"/>
  <c r="M93" i="43"/>
  <c r="K93" i="43"/>
  <c r="J93" i="43"/>
  <c r="H93" i="43"/>
  <c r="F93" i="43"/>
  <c r="H100" i="43" s="1"/>
  <c r="D93" i="43"/>
  <c r="M90" i="43"/>
  <c r="N90" i="43" s="1"/>
  <c r="K90" i="43"/>
  <c r="J90" i="43"/>
  <c r="D90" i="43"/>
  <c r="B90" i="43"/>
  <c r="N89" i="43"/>
  <c r="M89" i="43"/>
  <c r="K89" i="43"/>
  <c r="J89" i="43"/>
  <c r="D89" i="43"/>
  <c r="M88" i="43"/>
  <c r="N88" i="43" s="1"/>
  <c r="K88" i="43"/>
  <c r="J88" i="43" s="1"/>
  <c r="H88" i="43"/>
  <c r="D88" i="43"/>
  <c r="B88" i="43"/>
  <c r="M87" i="43"/>
  <c r="N87" i="43" s="1"/>
  <c r="K87" i="43"/>
  <c r="J87" i="43" s="1"/>
  <c r="D87" i="43"/>
  <c r="N86" i="43"/>
  <c r="M86" i="43"/>
  <c r="K86" i="43"/>
  <c r="J86" i="43" s="1"/>
  <c r="H86" i="43"/>
  <c r="D86" i="43"/>
  <c r="B86" i="43"/>
  <c r="M85" i="43"/>
  <c r="N85" i="43" s="1"/>
  <c r="K85" i="43"/>
  <c r="J85" i="43"/>
  <c r="D85" i="43"/>
  <c r="B85" i="43"/>
  <c r="N84" i="43"/>
  <c r="M84" i="43"/>
  <c r="K84" i="43"/>
  <c r="J84" i="43" s="1"/>
  <c r="H84" i="43"/>
  <c r="D84" i="43"/>
  <c r="E83" i="43" s="1"/>
  <c r="B81" i="43" s="1"/>
  <c r="M83" i="43"/>
  <c r="N83" i="43" s="1"/>
  <c r="K83" i="43"/>
  <c r="J83" i="43"/>
  <c r="F83" i="43"/>
  <c r="D83" i="43"/>
  <c r="M80" i="43"/>
  <c r="N80" i="43" s="1"/>
  <c r="K80" i="43"/>
  <c r="J80" i="43"/>
  <c r="D80" i="43"/>
  <c r="M79" i="43"/>
  <c r="N79" i="43" s="1"/>
  <c r="K79" i="43"/>
  <c r="J79" i="43" s="1"/>
  <c r="D79" i="43"/>
  <c r="N78" i="43"/>
  <c r="M78" i="43"/>
  <c r="K78" i="43"/>
  <c r="J78" i="43" s="1"/>
  <c r="D78" i="43"/>
  <c r="N77" i="43"/>
  <c r="M77" i="43"/>
  <c r="K77" i="43"/>
  <c r="J77" i="43" s="1"/>
  <c r="D77" i="43"/>
  <c r="M76" i="43"/>
  <c r="N76" i="43" s="1"/>
  <c r="K76" i="43"/>
  <c r="J76" i="43"/>
  <c r="D76" i="43"/>
  <c r="B76" i="43"/>
  <c r="N75" i="43"/>
  <c r="M75" i="43"/>
  <c r="K75" i="43"/>
  <c r="J75" i="43"/>
  <c r="D75" i="43"/>
  <c r="N74" i="43"/>
  <c r="M74" i="43"/>
  <c r="K74" i="43"/>
  <c r="J74" i="43"/>
  <c r="D74" i="43"/>
  <c r="B74" i="43"/>
  <c r="M73" i="43"/>
  <c r="N73" i="43" s="1"/>
  <c r="K73" i="43"/>
  <c r="J73" i="43" s="1"/>
  <c r="H73" i="43"/>
  <c r="D73" i="43"/>
  <c r="B73" i="43"/>
  <c r="M72" i="43"/>
  <c r="N72" i="43" s="1"/>
  <c r="K72" i="43"/>
  <c r="J72" i="43" s="1"/>
  <c r="F72" i="43"/>
  <c r="D72" i="43"/>
  <c r="N69" i="43"/>
  <c r="M69" i="43"/>
  <c r="K69" i="43"/>
  <c r="J69" i="43"/>
  <c r="H69" i="43"/>
  <c r="D69" i="43"/>
  <c r="N68" i="43"/>
  <c r="M68" i="43"/>
  <c r="K68" i="43"/>
  <c r="J68" i="43" s="1"/>
  <c r="D68" i="43"/>
  <c r="M67" i="43"/>
  <c r="N67" i="43" s="1"/>
  <c r="K67" i="43"/>
  <c r="J67" i="43"/>
  <c r="D67" i="43"/>
  <c r="B67" i="43"/>
  <c r="N66" i="43"/>
  <c r="M66" i="43"/>
  <c r="K66" i="43"/>
  <c r="J66" i="43"/>
  <c r="D66" i="43"/>
  <c r="M65" i="43"/>
  <c r="N65" i="43" s="1"/>
  <c r="K65" i="43"/>
  <c r="J65" i="43" s="1"/>
  <c r="H65" i="43"/>
  <c r="D65" i="43"/>
  <c r="B65" i="43"/>
  <c r="M64" i="43"/>
  <c r="N64" i="43" s="1"/>
  <c r="K64" i="43"/>
  <c r="J64" i="43" s="1"/>
  <c r="D64" i="43"/>
  <c r="M63" i="43"/>
  <c r="N63" i="43" s="1"/>
  <c r="K63" i="43"/>
  <c r="J63" i="43"/>
  <c r="D63" i="43"/>
  <c r="B63" i="43"/>
  <c r="N62" i="43"/>
  <c r="M62" i="43"/>
  <c r="K62" i="43"/>
  <c r="J62" i="43" s="1"/>
  <c r="H62" i="43"/>
  <c r="D62" i="43"/>
  <c r="E61" i="43" s="1"/>
  <c r="B59" i="43" s="1"/>
  <c r="B62" i="43"/>
  <c r="M61" i="43"/>
  <c r="N61" i="43" s="1"/>
  <c r="K61" i="43"/>
  <c r="J61" i="43"/>
  <c r="F61" i="43"/>
  <c r="D61" i="43"/>
  <c r="M58" i="43"/>
  <c r="N58" i="43" s="1"/>
  <c r="K58" i="43"/>
  <c r="D58" i="43" s="1"/>
  <c r="M57" i="43"/>
  <c r="N57" i="43" s="1"/>
  <c r="K57" i="43"/>
  <c r="J57" i="43"/>
  <c r="D57" i="43" s="1"/>
  <c r="M56" i="43"/>
  <c r="N56" i="43" s="1"/>
  <c r="K56" i="43"/>
  <c r="J56" i="43" s="1"/>
  <c r="B56" i="43"/>
  <c r="M55" i="43"/>
  <c r="N55" i="43" s="1"/>
  <c r="K55" i="43"/>
  <c r="J55" i="43" s="1"/>
  <c r="M54" i="43"/>
  <c r="N54" i="43" s="1"/>
  <c r="K54" i="43"/>
  <c r="J54" i="43"/>
  <c r="D54" i="43"/>
  <c r="N53" i="43"/>
  <c r="M53" i="43"/>
  <c r="K53" i="43"/>
  <c r="J53" i="43" s="1"/>
  <c r="M52" i="43"/>
  <c r="N52" i="43" s="1"/>
  <c r="K52" i="43"/>
  <c r="D52" i="43" s="1"/>
  <c r="B52" i="43"/>
  <c r="M51" i="43"/>
  <c r="N51" i="43" s="1"/>
  <c r="K51" i="43"/>
  <c r="J51" i="43" s="1"/>
  <c r="D51" i="43"/>
  <c r="B51" i="43"/>
  <c r="M50" i="43"/>
  <c r="N50" i="43" s="1"/>
  <c r="K50" i="43"/>
  <c r="J50" i="43" s="1"/>
  <c r="B50" i="43"/>
  <c r="E44" i="43"/>
  <c r="H41" i="43"/>
  <c r="H40" i="43"/>
  <c r="F40" i="43"/>
  <c r="H39" i="43"/>
  <c r="H38" i="43"/>
  <c r="F38" i="43"/>
  <c r="J24" i="43"/>
  <c r="G24" i="43"/>
  <c r="E24" i="43"/>
  <c r="I23" i="43"/>
  <c r="C22" i="43"/>
  <c r="N21" i="43"/>
  <c r="E21" i="43"/>
  <c r="I18" i="43"/>
  <c r="G18" i="43"/>
  <c r="G17" i="43"/>
  <c r="E17" i="43"/>
  <c r="C17" i="43"/>
  <c r="C13" i="43"/>
  <c r="N12" i="43"/>
  <c r="N11" i="43"/>
  <c r="C11" i="43"/>
  <c r="Y10" i="43"/>
  <c r="M10" i="43"/>
  <c r="C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E8" i="43"/>
  <c r="X7" i="43"/>
  <c r="C7" i="43"/>
  <c r="M6" i="43"/>
  <c r="S5" i="43"/>
  <c r="N4" i="43"/>
  <c r="G3" i="43"/>
  <c r="J26" i="43" s="1"/>
  <c r="M2" i="43"/>
  <c r="I2" i="43"/>
  <c r="G2" i="43"/>
  <c r="A122" i="9"/>
  <c r="D120" i="9"/>
  <c r="A120" i="9"/>
  <c r="E111" i="9"/>
  <c r="A126" i="9" s="1"/>
  <c r="E109" i="9"/>
  <c r="E107" i="9"/>
  <c r="H106" i="9"/>
  <c r="H105" i="9"/>
  <c r="H104" i="9"/>
  <c r="H103" i="9"/>
  <c r="D101" i="9"/>
  <c r="C101" i="9"/>
  <c r="D93" i="9"/>
  <c r="C91" i="9"/>
  <c r="E90" i="9"/>
  <c r="D89" i="9"/>
  <c r="C89" i="9" s="1"/>
  <c r="C87" i="9" s="1"/>
  <c r="D78" i="9"/>
  <c r="H77" i="9"/>
  <c r="D77" i="9"/>
  <c r="C76" i="9"/>
  <c r="F59" i="9"/>
  <c r="O55" i="9" s="1"/>
  <c r="E59" i="9"/>
  <c r="D59" i="9"/>
  <c r="M55" i="9" s="1"/>
  <c r="F56" i="9"/>
  <c r="N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3" i="74"/>
  <c r="B2" i="74"/>
  <c r="C24" i="20"/>
  <c r="B54" i="43" s="1"/>
  <c r="C22" i="20"/>
  <c r="C21" i="20"/>
  <c r="C27" i="39" s="1"/>
  <c r="G20" i="20"/>
  <c r="C25" i="40" s="1"/>
  <c r="C20" i="20"/>
  <c r="G19" i="20"/>
  <c r="G18" i="20"/>
  <c r="C21" i="40" s="1"/>
  <c r="C18" i="20"/>
  <c r="C21" i="39" s="1"/>
  <c r="C17" i="20"/>
  <c r="G16" i="20"/>
  <c r="C16" i="20"/>
  <c r="C17" i="39" s="1"/>
  <c r="G15" i="20"/>
  <c r="C15" i="40" s="1"/>
  <c r="C15" i="20"/>
  <c r="B52" i="1"/>
  <c r="M20" i="81" s="1"/>
  <c r="B43" i="1"/>
  <c r="B41" i="1"/>
  <c r="B35" i="1"/>
  <c r="B31" i="1"/>
  <c r="B22" i="1"/>
  <c r="B21" i="1"/>
  <c r="B24" i="1" s="1"/>
  <c r="P14" i="1"/>
  <c r="O14" i="1"/>
  <c r="L14" i="1"/>
  <c r="AP13" i="1"/>
  <c r="AG13" i="1"/>
  <c r="AE13" i="1"/>
  <c r="T13" i="1"/>
  <c r="P13" i="1"/>
  <c r="O13" i="1"/>
  <c r="F13" i="1"/>
  <c r="D13" i="1"/>
  <c r="B13" i="1"/>
  <c r="E13" i="1" s="1"/>
  <c r="A13" i="1"/>
  <c r="S13" i="1" s="1"/>
  <c r="AP12" i="1"/>
  <c r="AG12" i="1"/>
  <c r="AE12" i="1"/>
  <c r="P12" i="1"/>
  <c r="O12" i="1"/>
  <c r="F12" i="1"/>
  <c r="D12" i="1"/>
  <c r="A12" i="1"/>
  <c r="R12" i="1" s="1"/>
  <c r="AP11" i="1"/>
  <c r="AG11" i="1"/>
  <c r="AE11" i="1"/>
  <c r="P11" i="1"/>
  <c r="O11" i="1"/>
  <c r="F11" i="1"/>
  <c r="G11" i="1" s="1"/>
  <c r="D11" i="1"/>
  <c r="B11" i="1"/>
  <c r="E11" i="1" s="1"/>
  <c r="A11" i="1"/>
  <c r="S11" i="1" s="1"/>
  <c r="T11" i="1" s="1"/>
  <c r="AP10" i="1"/>
  <c r="AG10" i="1"/>
  <c r="AE10" i="1"/>
  <c r="R10" i="1"/>
  <c r="P10" i="1"/>
  <c r="O10" i="1"/>
  <c r="F10" i="1"/>
  <c r="D10" i="1"/>
  <c r="A10" i="1"/>
  <c r="K10" i="1" s="1"/>
  <c r="M10" i="1" s="1"/>
  <c r="AP9" i="1"/>
  <c r="AG9" i="1"/>
  <c r="AE9" i="1"/>
  <c r="P9" i="1"/>
  <c r="O9" i="1"/>
  <c r="F9" i="1"/>
  <c r="D9" i="1"/>
  <c r="A9" i="1"/>
  <c r="S9" i="1" s="1"/>
  <c r="T9" i="1" s="1"/>
  <c r="AP8" i="1"/>
  <c r="AG8" i="1"/>
  <c r="AE8" i="1"/>
  <c r="P8" i="1"/>
  <c r="O8" i="1"/>
  <c r="F8" i="1"/>
  <c r="D8" i="1"/>
  <c r="A8" i="1"/>
  <c r="AP7" i="1"/>
  <c r="AH7" i="1"/>
  <c r="AG7" i="1"/>
  <c r="V7" i="1"/>
  <c r="P7" i="1"/>
  <c r="O7" i="1"/>
  <c r="D7" i="1"/>
  <c r="A7" i="1"/>
  <c r="AP6" i="1"/>
  <c r="AG6" i="1"/>
  <c r="P6" i="1"/>
  <c r="O6" i="1"/>
  <c r="N6" i="1"/>
  <c r="N7" i="1" s="1"/>
  <c r="N14" i="1" s="1"/>
  <c r="AQ13" i="1" s="1"/>
  <c r="D6" i="1"/>
  <c r="A6" i="1"/>
  <c r="G1" i="15" s="1"/>
  <c r="T4" i="1"/>
  <c r="B2" i="1"/>
  <c r="C7" i="21" s="1"/>
  <c r="C58" i="21" s="1"/>
  <c r="E32" i="6"/>
  <c r="O27" i="6"/>
  <c r="N27" i="6"/>
  <c r="P26" i="6"/>
  <c r="L26" i="6"/>
  <c r="E26" i="6"/>
  <c r="P25" i="6"/>
  <c r="L25" i="6"/>
  <c r="E25" i="6"/>
  <c r="P24" i="6"/>
  <c r="L24" i="6"/>
  <c r="E24" i="6"/>
  <c r="P23" i="6"/>
  <c r="L23" i="6"/>
  <c r="E23" i="6"/>
  <c r="P22" i="6"/>
  <c r="L22" i="6"/>
  <c r="E22" i="6"/>
  <c r="P21" i="6"/>
  <c r="L21" i="6"/>
  <c r="E21" i="6"/>
  <c r="P20" i="6"/>
  <c r="L20" i="6"/>
  <c r="P19" i="6"/>
  <c r="L19" i="6"/>
  <c r="L27" i="6" s="1"/>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A576" i="3" s="1"/>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H563" i="3"/>
  <c r="G563" i="3"/>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A555" i="3" s="1"/>
  <c r="AZ555" i="3" s="1"/>
  <c r="BC555" i="3"/>
  <c r="BB555" i="3"/>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H543" i="3"/>
  <c r="G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A539" i="3" s="1"/>
  <c r="AZ539" i="3" s="1"/>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A507" i="3" s="1"/>
  <c r="AZ507" i="3" s="1"/>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A491" i="3" s="1"/>
  <c r="AZ491" i="3" s="1"/>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L429" i="3" s="1"/>
  <c r="BM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A428" i="3" s="1"/>
  <c r="BC428" i="3"/>
  <c r="BB428" i="3"/>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L421" i="3" s="1"/>
  <c r="BM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BC396" i="3"/>
  <c r="BB396" i="3"/>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L389" i="3" s="1"/>
  <c r="BM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A386" i="3" s="1"/>
  <c r="BC386" i="3"/>
  <c r="BB386" i="3"/>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A382" i="3" s="1"/>
  <c r="AZ382" i="3" s="1"/>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A378" i="3" s="1"/>
  <c r="AZ378" i="3" s="1"/>
  <c r="BC378" i="3"/>
  <c r="BB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A374" i="3" s="1"/>
  <c r="BC374" i="3"/>
  <c r="BB374" i="3"/>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L372" i="3" s="1"/>
  <c r="BM372" i="3"/>
  <c r="BK372" i="3"/>
  <c r="BJ372" i="3"/>
  <c r="BI372" i="3"/>
  <c r="BH372" i="3"/>
  <c r="BG372" i="3"/>
  <c r="BF372" i="3"/>
  <c r="BE372" i="3"/>
  <c r="BD372" i="3"/>
  <c r="BC372" i="3"/>
  <c r="BB372" i="3"/>
  <c r="BA372" i="3" s="1"/>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A371" i="3" s="1"/>
  <c r="AZ371" i="3" s="1"/>
  <c r="BB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A370" i="3" s="1"/>
  <c r="BC370" i="3"/>
  <c r="BB370" i="3"/>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A367" i="3" s="1"/>
  <c r="AZ367" i="3" s="1"/>
  <c r="BB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A366" i="3" s="1"/>
  <c r="AZ366" i="3" s="1"/>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A363" i="3" s="1"/>
  <c r="BB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A362" i="3" s="1"/>
  <c r="AZ362" i="3" s="1"/>
  <c r="BC362" i="3"/>
  <c r="BB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L360" i="3" s="1"/>
  <c r="BM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A359" i="3" s="1"/>
  <c r="BB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A358" i="3" s="1"/>
  <c r="BC358" i="3"/>
  <c r="BB358" i="3"/>
  <c r="AZ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L356" i="3" s="1"/>
  <c r="BM356" i="3"/>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L355" i="3" s="1"/>
  <c r="BN355" i="3"/>
  <c r="BM355" i="3"/>
  <c r="BK355" i="3"/>
  <c r="BJ355" i="3"/>
  <c r="BI355" i="3"/>
  <c r="BH355" i="3"/>
  <c r="BG355" i="3"/>
  <c r="BF355" i="3"/>
  <c r="BE355" i="3"/>
  <c r="BD355" i="3"/>
  <c r="BC355" i="3"/>
  <c r="BA355" i="3" s="1"/>
  <c r="AZ355" i="3" s="1"/>
  <c r="BB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A354" i="3" s="1"/>
  <c r="BC354" i="3"/>
  <c r="BB354" i="3"/>
  <c r="AZ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A351" i="3" s="1"/>
  <c r="AZ351" i="3" s="1"/>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A347" i="3" s="1"/>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A343" i="3" s="1"/>
  <c r="BB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A342" i="3" s="1"/>
  <c r="BC342" i="3"/>
  <c r="BB342" i="3"/>
  <c r="AZ342" i="3"/>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L340" i="3" s="1"/>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L339" i="3" s="1"/>
  <c r="BN339" i="3"/>
  <c r="BM339" i="3"/>
  <c r="BK339" i="3"/>
  <c r="BJ339" i="3"/>
  <c r="BI339" i="3"/>
  <c r="BH339" i="3"/>
  <c r="BG339" i="3"/>
  <c r="BF339" i="3"/>
  <c r="BE339" i="3"/>
  <c r="BD339" i="3"/>
  <c r="BC339" i="3"/>
  <c r="BA339" i="3" s="1"/>
  <c r="AZ339" i="3" s="1"/>
  <c r="BB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A338" i="3" s="1"/>
  <c r="BC338" i="3"/>
  <c r="BB338" i="3"/>
  <c r="AZ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L336" i="3" s="1"/>
  <c r="BM336" i="3"/>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A335" i="3" s="1"/>
  <c r="AZ335" i="3" s="1"/>
  <c r="BB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BB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A330" i="3" s="1"/>
  <c r="AZ330" i="3" s="1"/>
  <c r="BC330" i="3"/>
  <c r="BB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A327" i="3" s="1"/>
  <c r="BB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A326" i="3" s="1"/>
  <c r="BC326" i="3"/>
  <c r="BB326" i="3"/>
  <c r="AZ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L324" i="3" s="1"/>
  <c r="BM324" i="3"/>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L323" i="3" s="1"/>
  <c r="BN323" i="3"/>
  <c r="BM323" i="3"/>
  <c r="BK323" i="3"/>
  <c r="BJ323" i="3"/>
  <c r="BI323" i="3"/>
  <c r="BH323" i="3"/>
  <c r="BG323" i="3"/>
  <c r="BF323" i="3"/>
  <c r="BE323" i="3"/>
  <c r="BD323" i="3"/>
  <c r="BC323" i="3"/>
  <c r="BA323" i="3" s="1"/>
  <c r="AZ323" i="3" s="1"/>
  <c r="BB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A322" i="3" s="1"/>
  <c r="BC322" i="3"/>
  <c r="BB322" i="3"/>
  <c r="AZ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L320" i="3" s="1"/>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A319" i="3" s="1"/>
  <c r="AZ319" i="3" s="1"/>
  <c r="BB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L315" i="3" s="1"/>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A314" i="3" s="1"/>
  <c r="AZ314" i="3" s="1"/>
  <c r="BC314" i="3"/>
  <c r="BB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L312" i="3" s="1"/>
  <c r="BM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L311" i="3" s="1"/>
  <c r="BN311" i="3"/>
  <c r="BM311" i="3"/>
  <c r="BK311" i="3"/>
  <c r="BJ311" i="3"/>
  <c r="BI311" i="3"/>
  <c r="BH311" i="3"/>
  <c r="BG311" i="3"/>
  <c r="BF311" i="3"/>
  <c r="BE311" i="3"/>
  <c r="BD311" i="3"/>
  <c r="BC311" i="3"/>
  <c r="BA311" i="3" s="1"/>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A310" i="3" s="1"/>
  <c r="BC310" i="3"/>
  <c r="BB310" i="3"/>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L307" i="3" s="1"/>
  <c r="BN307" i="3"/>
  <c r="BM307" i="3"/>
  <c r="BK307" i="3"/>
  <c r="BJ307" i="3"/>
  <c r="BI307" i="3"/>
  <c r="BH307" i="3"/>
  <c r="BG307" i="3"/>
  <c r="BF307" i="3"/>
  <c r="BE307" i="3"/>
  <c r="BD307" i="3"/>
  <c r="BC307" i="3"/>
  <c r="BA307" i="3" s="1"/>
  <c r="AZ307" i="3" s="1"/>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A306" i="3" s="1"/>
  <c r="BC306" i="3"/>
  <c r="BB306" i="3"/>
  <c r="AZ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L304" i="3" s="1"/>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A303" i="3" s="1"/>
  <c r="AZ303" i="3" s="1"/>
  <c r="BB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BC294" i="3"/>
  <c r="BB294" i="3"/>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A287" i="3" s="1"/>
  <c r="AZ287" i="3" s="1"/>
  <c r="BB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L280" i="3" s="1"/>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G201" i="3" s="1"/>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A199" i="3" s="1"/>
  <c r="AZ199" i="3" s="1"/>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G185" i="3" s="1"/>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G177" i="3" s="1"/>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G169" i="3" s="1"/>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A85" i="3" s="1"/>
  <c r="AZ85" i="3" s="1"/>
  <c r="BB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A77" i="3" s="1"/>
  <c r="BB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A37" i="3" s="1"/>
  <c r="AZ37" i="3" s="1"/>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A21" i="3" s="1"/>
  <c r="AZ21" i="3" s="1"/>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A17" i="3" s="1"/>
  <c r="AZ17" i="3" s="1"/>
  <c r="BB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L14" i="3" s="1"/>
  <c r="BM14" i="3"/>
  <c r="BK14" i="3"/>
  <c r="BJ14" i="3"/>
  <c r="BI14" i="3"/>
  <c r="BH14" i="3"/>
  <c r="BG14" i="3"/>
  <c r="BF14" i="3"/>
  <c r="BE14" i="3"/>
  <c r="BD14" i="3"/>
  <c r="BC14" i="3"/>
  <c r="BB14" i="3"/>
  <c r="BA14" i="3" s="1"/>
  <c r="AW14" i="3"/>
  <c r="AV14" i="3"/>
  <c r="AC14" i="3"/>
  <c r="G14" i="3" s="1"/>
  <c r="H14" i="3"/>
  <c r="C14" i="3"/>
  <c r="AX14" i="3" s="1"/>
  <c r="BT13" i="3"/>
  <c r="BS13" i="3"/>
  <c r="BS5" i="3" s="1"/>
  <c r="BR13" i="3"/>
  <c r="BQ13" i="3"/>
  <c r="BQ5" i="3" s="1"/>
  <c r="F28" i="6" s="1"/>
  <c r="BP13" i="3"/>
  <c r="BO13" i="3"/>
  <c r="BO5" i="3" s="1"/>
  <c r="BN13" i="3"/>
  <c r="BM13" i="3"/>
  <c r="BM5" i="3" s="1"/>
  <c r="F29" i="6" s="1"/>
  <c r="BK13" i="3"/>
  <c r="BK5" i="3" s="1"/>
  <c r="BJ13" i="3"/>
  <c r="BI13" i="3"/>
  <c r="BI5" i="3" s="1"/>
  <c r="BH13" i="3"/>
  <c r="BG13" i="3"/>
  <c r="BG5" i="3" s="1"/>
  <c r="BF13" i="3"/>
  <c r="BE13" i="3"/>
  <c r="BE5" i="3" s="1"/>
  <c r="BC13" i="3"/>
  <c r="BC5" i="3" s="1"/>
  <c r="AW13" i="3"/>
  <c r="AV13" i="3"/>
  <c r="AC13" i="3"/>
  <c r="M13" i="3"/>
  <c r="BD13" i="3" s="1"/>
  <c r="BD5" i="3" s="1"/>
  <c r="K13" i="3"/>
  <c r="I13" i="3"/>
  <c r="H13" i="3" s="1"/>
  <c r="C13" i="3"/>
  <c r="AX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BP5" i="3"/>
  <c r="BN5" i="3"/>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C49" i="80"/>
  <c r="D49" i="80" s="1"/>
  <c r="D50" i="80" s="1"/>
  <c r="C47" i="80"/>
  <c r="C46" i="80"/>
  <c r="C52" i="80" s="1"/>
  <c r="H39" i="80"/>
  <c r="E30" i="80"/>
  <c r="D30" i="80"/>
  <c r="E27" i="80"/>
  <c r="C27" i="80"/>
  <c r="E26" i="80"/>
  <c r="C26" i="80"/>
  <c r="E25" i="80"/>
  <c r="D25" i="80" s="1"/>
  <c r="C25" i="80"/>
  <c r="C31" i="80" s="1"/>
  <c r="F10" i="80"/>
  <c r="E9" i="80"/>
  <c r="D9" i="80"/>
  <c r="C9" i="80"/>
  <c r="F8" i="80"/>
  <c r="F7" i="80"/>
  <c r="F6" i="80"/>
  <c r="F5" i="80"/>
  <c r="F4" i="80"/>
  <c r="F3" i="80"/>
  <c r="F9" i="80" s="1"/>
  <c r="G9" i="80" s="1"/>
  <c r="R35" i="4"/>
  <c r="Q35" i="4"/>
  <c r="P35" i="4"/>
  <c r="O35" i="4"/>
  <c r="N35" i="4"/>
  <c r="M35" i="4"/>
  <c r="L35" i="4"/>
  <c r="F35" i="4"/>
  <c r="T34" i="4"/>
  <c r="K34" i="4"/>
  <c r="C33" i="4"/>
  <c r="C32" i="4"/>
  <c r="C31" i="4"/>
  <c r="L22" i="4"/>
  <c r="L21" i="4"/>
  <c r="L20" i="4"/>
  <c r="F19" i="4"/>
  <c r="I15" i="4"/>
  <c r="H15" i="4"/>
  <c r="G15" i="4"/>
  <c r="F15" i="4"/>
  <c r="F7" i="1" s="1"/>
  <c r="G7" i="1" s="1"/>
  <c r="E15" i="4"/>
  <c r="G44" i="43" s="1"/>
  <c r="D15" i="4"/>
  <c r="F6" i="1" s="1"/>
  <c r="I24" i="43" s="1"/>
  <c r="C24" i="43" s="1"/>
  <c r="C15" i="4"/>
  <c r="K6" i="4"/>
  <c r="I4" i="4"/>
  <c r="K5" i="4" s="1"/>
  <c r="B47" i="48" s="1"/>
  <c r="G4" i="4"/>
  <c r="S2" i="4"/>
  <c r="A118" i="9" s="1"/>
  <c r="S1" i="4"/>
  <c r="B1" i="4"/>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3" i="10"/>
  <c r="C51" i="10"/>
  <c r="B51" i="10"/>
  <c r="H16" i="49"/>
  <c r="D16" i="49"/>
  <c r="D15" i="49"/>
  <c r="B2" i="49"/>
  <c r="F15" i="49" s="1"/>
  <c r="H15" i="49" s="1"/>
  <c r="A21" i="62"/>
  <c r="A20" i="62"/>
  <c r="A19" i="62"/>
  <c r="A15" i="62"/>
  <c r="A14" i="62"/>
  <c r="B60" i="72" s="1"/>
  <c r="A13" i="62"/>
  <c r="B59" i="72" s="1"/>
  <c r="A12" i="62"/>
  <c r="A5" i="62"/>
  <c r="A4" i="62"/>
  <c r="A12" i="52"/>
  <c r="B56" i="72" s="1"/>
  <c r="A8" i="52"/>
  <c r="B54" i="72" s="1"/>
  <c r="D6" i="52"/>
  <c r="A6" i="52"/>
  <c r="A4" i="52"/>
  <c r="H2" i="52"/>
  <c r="F2" i="52"/>
  <c r="D2" i="52"/>
  <c r="A1" i="52"/>
  <c r="B19" i="53"/>
  <c r="B16" i="53"/>
  <c r="B13" i="53"/>
  <c r="D12" i="53"/>
  <c r="D11" i="53"/>
  <c r="D10" i="53"/>
  <c r="D9" i="53"/>
  <c r="B25" i="72" s="1"/>
  <c r="D8" i="53"/>
  <c r="B8" i="53"/>
  <c r="A3" i="53"/>
  <c r="A2" i="53"/>
  <c r="B19" i="72" s="1"/>
  <c r="A24" i="51"/>
  <c r="A22" i="51"/>
  <c r="B17" i="72" s="1"/>
  <c r="A21" i="51"/>
  <c r="A20" i="51"/>
  <c r="B15" i="72" s="1"/>
  <c r="A18" i="51"/>
  <c r="B13" i="72" s="1"/>
  <c r="A15" i="51"/>
  <c r="B12" i="72" s="1"/>
  <c r="A13" i="51"/>
  <c r="B11" i="72" s="1"/>
  <c r="A4" i="51"/>
  <c r="A3" i="51"/>
  <c r="B49" i="48"/>
  <c r="B40" i="48"/>
  <c r="B37" i="48"/>
  <c r="B2" i="72" s="1"/>
  <c r="B74" i="72"/>
  <c r="B72" i="72"/>
  <c r="B70" i="72"/>
  <c r="B69" i="72"/>
  <c r="B68" i="72"/>
  <c r="B67" i="72"/>
  <c r="B66" i="72"/>
  <c r="B65" i="72"/>
  <c r="B63" i="72"/>
  <c r="B62" i="72"/>
  <c r="B61" i="72"/>
  <c r="B58" i="72"/>
  <c r="B57" i="72"/>
  <c r="B50" i="72"/>
  <c r="B46" i="72"/>
  <c r="B44" i="72"/>
  <c r="B42" i="72"/>
  <c r="B41" i="72"/>
  <c r="B37" i="72"/>
  <c r="B33" i="72"/>
  <c r="B29" i="72"/>
  <c r="B28" i="72"/>
  <c r="B27" i="72"/>
  <c r="B26" i="72"/>
  <c r="B24" i="72"/>
  <c r="B23" i="72"/>
  <c r="B18" i="72"/>
  <c r="B16" i="72"/>
  <c r="B10" i="72"/>
  <c r="B8" i="72"/>
  <c r="B6" i="72"/>
  <c r="B5" i="72"/>
  <c r="B3" i="72"/>
  <c r="F42" i="15"/>
  <c r="F36" i="15"/>
  <c r="L48" i="15"/>
  <c r="E10" i="76"/>
  <c r="AO12" i="1"/>
  <c r="E8" i="76"/>
  <c r="F7" i="73"/>
  <c r="M6" i="15"/>
  <c r="B11" i="76"/>
  <c r="B8" i="76"/>
  <c r="M24" i="15"/>
  <c r="B9" i="76"/>
  <c r="F3" i="73"/>
  <c r="D2" i="21"/>
  <c r="D2" i="33"/>
  <c r="E2" i="68"/>
  <c r="M28" i="15"/>
  <c r="E13" i="76"/>
  <c r="M22" i="15"/>
  <c r="D2" i="36"/>
  <c r="C76" i="15"/>
  <c r="F40" i="15"/>
  <c r="F9" i="15"/>
  <c r="F37" i="15"/>
  <c r="F6" i="73"/>
  <c r="E11" i="76"/>
  <c r="F6" i="15"/>
  <c r="F5" i="73"/>
  <c r="B12" i="76"/>
  <c r="F26" i="15"/>
  <c r="F38" i="15"/>
  <c r="B7" i="76"/>
  <c r="E9" i="76"/>
  <c r="AO10" i="1"/>
  <c r="L47" i="15"/>
  <c r="B10" i="76"/>
  <c r="AO13" i="1"/>
  <c r="M23" i="15"/>
  <c r="M8" i="15"/>
  <c r="AO11" i="1"/>
  <c r="F16" i="15"/>
  <c r="E12" i="76"/>
  <c r="J15" i="15"/>
  <c r="AO9" i="1"/>
  <c r="F20" i="31"/>
  <c r="D2" i="35"/>
  <c r="M9" i="15"/>
  <c r="D2" i="34"/>
  <c r="E2" i="69"/>
  <c r="M27" i="15"/>
  <c r="AO8" i="1"/>
  <c r="E7" i="76"/>
  <c r="D2" i="37"/>
  <c r="B13" i="76"/>
  <c r="F8" i="15"/>
  <c r="M26" i="15"/>
  <c r="F4" i="73"/>
  <c r="T11" i="79" l="1"/>
  <c r="W11" i="79" s="1"/>
  <c r="T9" i="79"/>
  <c r="W9" i="79" s="1"/>
  <c r="T10" i="79"/>
  <c r="W10" i="79" s="1"/>
  <c r="T7" i="79"/>
  <c r="T5" i="79"/>
  <c r="T6" i="79"/>
  <c r="AD11" i="79"/>
  <c r="U15" i="79"/>
  <c r="U17" i="79"/>
  <c r="T19" i="79"/>
  <c r="W19" i="79" s="1"/>
  <c r="U10" i="79"/>
  <c r="U9" i="79"/>
  <c r="U6" i="79"/>
  <c r="U7" i="79"/>
  <c r="U5" i="79"/>
  <c r="U11" i="79"/>
  <c r="R14" i="79"/>
  <c r="V14" i="79"/>
  <c r="R21" i="79"/>
  <c r="U22" i="79"/>
  <c r="T22" i="79"/>
  <c r="W22" i="79" s="1"/>
  <c r="S31" i="79"/>
  <c r="U36" i="79"/>
  <c r="U39" i="79"/>
  <c r="R5" i="79"/>
  <c r="R9" i="79"/>
  <c r="R7" i="79"/>
  <c r="R10" i="79"/>
  <c r="R6" i="79"/>
  <c r="V6" i="79"/>
  <c r="V5" i="79"/>
  <c r="V7" i="79"/>
  <c r="V10" i="79"/>
  <c r="V9" i="79"/>
  <c r="V11" i="79"/>
  <c r="S13" i="79"/>
  <c r="P34" i="79"/>
  <c r="P35" i="79"/>
  <c r="U3" i="79"/>
  <c r="K3" i="79"/>
  <c r="S11" i="79"/>
  <c r="S10" i="79"/>
  <c r="S5" i="79"/>
  <c r="S9" i="79"/>
  <c r="S6" i="79"/>
  <c r="S7" i="79"/>
  <c r="P11" i="79"/>
  <c r="T12" i="79"/>
  <c r="W12" i="79" s="1"/>
  <c r="T16" i="79"/>
  <c r="W16" i="79" s="1"/>
  <c r="R18" i="79"/>
  <c r="V18" i="79"/>
  <c r="S19" i="79"/>
  <c r="U21" i="79"/>
  <c r="M31" i="79"/>
  <c r="P31" i="79" s="1"/>
  <c r="U31" i="79"/>
  <c r="S34" i="79"/>
  <c r="S35" i="79"/>
  <c r="S36" i="79"/>
  <c r="T38" i="79"/>
  <c r="W38" i="79" s="1"/>
  <c r="S39" i="79"/>
  <c r="P42" i="79"/>
  <c r="P47" i="79"/>
  <c r="G8" i="1"/>
  <c r="J51" i="15"/>
  <c r="G23" i="43"/>
  <c r="J51" i="81"/>
  <c r="G12" i="1"/>
  <c r="G13" i="1"/>
  <c r="B9" i="1"/>
  <c r="E9" i="1" s="1"/>
  <c r="G1" i="81"/>
  <c r="C36" i="69"/>
  <c r="K9" i="1"/>
  <c r="M9" i="1" s="1"/>
  <c r="K11" i="1"/>
  <c r="M11" i="1" s="1"/>
  <c r="K13" i="1"/>
  <c r="M13" i="1" s="1"/>
  <c r="C5" i="11"/>
  <c r="P16" i="1"/>
  <c r="C11" i="12" s="1"/>
  <c r="C12" i="12" s="1"/>
  <c r="AQ9" i="1"/>
  <c r="AQ11" i="1"/>
  <c r="Y6" i="1"/>
  <c r="G13" i="3"/>
  <c r="H5" i="3"/>
  <c r="AZ22" i="3"/>
  <c r="AZ23" i="3"/>
  <c r="AZ29" i="3"/>
  <c r="AZ38" i="3"/>
  <c r="AZ39" i="3"/>
  <c r="AZ45" i="3"/>
  <c r="AZ54" i="3"/>
  <c r="AZ55" i="3"/>
  <c r="AZ61" i="3"/>
  <c r="AZ70" i="3"/>
  <c r="AZ71" i="3"/>
  <c r="AZ77" i="3"/>
  <c r="AZ86" i="3"/>
  <c r="AZ87" i="3"/>
  <c r="AZ93" i="3"/>
  <c r="AZ102" i="3"/>
  <c r="AZ103" i="3"/>
  <c r="AZ109" i="3"/>
  <c r="AZ118" i="3"/>
  <c r="AZ119" i="3"/>
  <c r="AZ125" i="3"/>
  <c r="AZ134" i="3"/>
  <c r="AZ135" i="3"/>
  <c r="AZ141" i="3"/>
  <c r="AZ150" i="3"/>
  <c r="AZ162" i="3"/>
  <c r="AZ174" i="3"/>
  <c r="AZ186" i="3"/>
  <c r="AZ202" i="3"/>
  <c r="AZ222" i="3"/>
  <c r="AZ238" i="3"/>
  <c r="AZ254" i="3"/>
  <c r="AZ270" i="3"/>
  <c r="F30" i="6"/>
  <c r="C51" i="78"/>
  <c r="C56" i="78" s="1"/>
  <c r="C58" i="78" s="1"/>
  <c r="D56" i="78"/>
  <c r="AZ14" i="3"/>
  <c r="AZ15" i="3"/>
  <c r="AZ30" i="3"/>
  <c r="AZ31" i="3"/>
  <c r="AZ46" i="3"/>
  <c r="AZ47" i="3"/>
  <c r="AZ62" i="3"/>
  <c r="AZ63" i="3"/>
  <c r="AZ78" i="3"/>
  <c r="AZ79" i="3"/>
  <c r="AZ94" i="3"/>
  <c r="AZ95" i="3"/>
  <c r="AZ110" i="3"/>
  <c r="AZ111" i="3"/>
  <c r="AZ126" i="3"/>
  <c r="AZ127" i="3"/>
  <c r="AZ142" i="3"/>
  <c r="AZ143" i="3"/>
  <c r="AZ149" i="3"/>
  <c r="AZ154" i="3"/>
  <c r="AZ158" i="3"/>
  <c r="AZ178" i="3"/>
  <c r="AZ194" i="3"/>
  <c r="AZ210" i="3"/>
  <c r="AZ230" i="3"/>
  <c r="AZ246" i="3"/>
  <c r="AZ262" i="3"/>
  <c r="F25" i="78"/>
  <c r="G25" i="78" s="1"/>
  <c r="G24" i="78"/>
  <c r="AZ26" i="3"/>
  <c r="AZ27" i="3"/>
  <c r="AZ42" i="3"/>
  <c r="AZ43" i="3"/>
  <c r="AZ58" i="3"/>
  <c r="AZ59" i="3"/>
  <c r="AZ74" i="3"/>
  <c r="AZ75" i="3"/>
  <c r="AZ90" i="3"/>
  <c r="AZ91" i="3"/>
  <c r="AZ106" i="3"/>
  <c r="AZ107" i="3"/>
  <c r="AZ122" i="3"/>
  <c r="AZ123" i="3"/>
  <c r="AZ138" i="3"/>
  <c r="AZ139" i="3"/>
  <c r="AZ166" i="3"/>
  <c r="AZ190" i="3"/>
  <c r="AZ206" i="3"/>
  <c r="AZ226" i="3"/>
  <c r="AZ242" i="3"/>
  <c r="AZ258" i="3"/>
  <c r="C6" i="78"/>
  <c r="D6" i="78" s="1"/>
  <c r="J50" i="40"/>
  <c r="J55" i="39"/>
  <c r="T35" i="4"/>
  <c r="A19" i="51" s="1"/>
  <c r="B14" i="72" s="1"/>
  <c r="C28" i="80"/>
  <c r="E28" i="80" s="1"/>
  <c r="D46" i="80"/>
  <c r="D47" i="80" s="1"/>
  <c r="BL13" i="3"/>
  <c r="BA156" i="3"/>
  <c r="AZ156" i="3" s="1"/>
  <c r="BA164" i="3"/>
  <c r="AZ164" i="3" s="1"/>
  <c r="BA172" i="3"/>
  <c r="AZ172" i="3" s="1"/>
  <c r="BA180" i="3"/>
  <c r="AZ180" i="3" s="1"/>
  <c r="BA188" i="3"/>
  <c r="AZ188" i="3" s="1"/>
  <c r="BA196" i="3"/>
  <c r="AZ196" i="3" s="1"/>
  <c r="BA204" i="3"/>
  <c r="AZ204" i="3" s="1"/>
  <c r="BA212" i="3"/>
  <c r="AZ212" i="3" s="1"/>
  <c r="BA219" i="3"/>
  <c r="AZ219" i="3" s="1"/>
  <c r="BA220" i="3"/>
  <c r="AZ220" i="3" s="1"/>
  <c r="BA223" i="3"/>
  <c r="AZ223" i="3" s="1"/>
  <c r="BA224" i="3"/>
  <c r="AZ224" i="3" s="1"/>
  <c r="BA227" i="3"/>
  <c r="AZ227" i="3" s="1"/>
  <c r="BA228" i="3"/>
  <c r="AZ228" i="3" s="1"/>
  <c r="BA231" i="3"/>
  <c r="AZ231" i="3" s="1"/>
  <c r="BA232" i="3"/>
  <c r="AZ232" i="3" s="1"/>
  <c r="BA235" i="3"/>
  <c r="AZ235" i="3" s="1"/>
  <c r="BA236" i="3"/>
  <c r="AZ236" i="3" s="1"/>
  <c r="BA239" i="3"/>
  <c r="AZ239" i="3" s="1"/>
  <c r="BA240" i="3"/>
  <c r="AZ240" i="3" s="1"/>
  <c r="BA243" i="3"/>
  <c r="AZ243" i="3" s="1"/>
  <c r="BA244" i="3"/>
  <c r="AZ244" i="3" s="1"/>
  <c r="BA247" i="3"/>
  <c r="AZ247" i="3" s="1"/>
  <c r="BA248" i="3"/>
  <c r="AZ248" i="3" s="1"/>
  <c r="BA251" i="3"/>
  <c r="AZ251" i="3" s="1"/>
  <c r="BA252" i="3"/>
  <c r="AZ252" i="3" s="1"/>
  <c r="BA255" i="3"/>
  <c r="AZ255" i="3" s="1"/>
  <c r="BA256" i="3"/>
  <c r="AZ256" i="3" s="1"/>
  <c r="BA259" i="3"/>
  <c r="AZ259" i="3" s="1"/>
  <c r="BA260" i="3"/>
  <c r="BA263" i="3"/>
  <c r="AZ263" i="3" s="1"/>
  <c r="BA264" i="3"/>
  <c r="BA267" i="3"/>
  <c r="AZ267" i="3" s="1"/>
  <c r="BA268" i="3"/>
  <c r="BA271" i="3"/>
  <c r="AZ271" i="3" s="1"/>
  <c r="BA272" i="3"/>
  <c r="BA275" i="3"/>
  <c r="AZ275" i="3" s="1"/>
  <c r="BA276" i="3"/>
  <c r="M56" i="9"/>
  <c r="K56" i="9"/>
  <c r="N56" i="9"/>
  <c r="D9" i="11"/>
  <c r="C9" i="11" s="1"/>
  <c r="D19" i="12"/>
  <c r="C19" i="12" s="1"/>
  <c r="D9" i="69"/>
  <c r="C9" i="69" s="1"/>
  <c r="D9" i="68"/>
  <c r="C9" i="68" s="1"/>
  <c r="U16" i="43"/>
  <c r="F19" i="6"/>
  <c r="BL157" i="3"/>
  <c r="AZ157" i="3" s="1"/>
  <c r="BL165" i="3"/>
  <c r="AZ165" i="3" s="1"/>
  <c r="BL173" i="3"/>
  <c r="AZ173" i="3" s="1"/>
  <c r="BL181" i="3"/>
  <c r="AZ181" i="3" s="1"/>
  <c r="BL189" i="3"/>
  <c r="AZ189" i="3" s="1"/>
  <c r="BL197" i="3"/>
  <c r="AZ197" i="3" s="1"/>
  <c r="BL205" i="3"/>
  <c r="AZ205" i="3" s="1"/>
  <c r="BL213" i="3"/>
  <c r="AZ213" i="3" s="1"/>
  <c r="P32" i="43"/>
  <c r="N32" i="43"/>
  <c r="Q32" i="43"/>
  <c r="O32" i="43"/>
  <c r="M32" i="43"/>
  <c r="C18" i="78"/>
  <c r="C5" i="78"/>
  <c r="D5" i="78" s="1"/>
  <c r="C29" i="80"/>
  <c r="E29" i="80" s="1"/>
  <c r="G19" i="6"/>
  <c r="D37" i="43"/>
  <c r="BB13" i="3"/>
  <c r="BA152" i="3"/>
  <c r="AZ152" i="3" s="1"/>
  <c r="BA160" i="3"/>
  <c r="AZ160" i="3" s="1"/>
  <c r="BA168" i="3"/>
  <c r="AZ168" i="3" s="1"/>
  <c r="BA176" i="3"/>
  <c r="AZ176" i="3" s="1"/>
  <c r="BA184" i="3"/>
  <c r="AZ184" i="3" s="1"/>
  <c r="BA192" i="3"/>
  <c r="AZ192" i="3" s="1"/>
  <c r="BA200" i="3"/>
  <c r="AZ200" i="3" s="1"/>
  <c r="BA208" i="3"/>
  <c r="AZ208" i="3" s="1"/>
  <c r="BA216" i="3"/>
  <c r="AZ216" i="3" s="1"/>
  <c r="G220" i="3"/>
  <c r="G224" i="3"/>
  <c r="G228" i="3"/>
  <c r="G232" i="3"/>
  <c r="G236" i="3"/>
  <c r="G240" i="3"/>
  <c r="G244" i="3"/>
  <c r="G248" i="3"/>
  <c r="G252" i="3"/>
  <c r="G256" i="3"/>
  <c r="G260" i="3"/>
  <c r="G264" i="3"/>
  <c r="G268" i="3"/>
  <c r="G272" i="3"/>
  <c r="AZ283" i="3"/>
  <c r="AZ292" i="3"/>
  <c r="AZ293" i="3"/>
  <c r="AZ299" i="3"/>
  <c r="AZ308" i="3"/>
  <c r="AZ309" i="3"/>
  <c r="AZ315" i="3"/>
  <c r="AZ324" i="3"/>
  <c r="AZ325" i="3"/>
  <c r="AZ331" i="3"/>
  <c r="AZ340" i="3"/>
  <c r="AZ341" i="3"/>
  <c r="AZ347" i="3"/>
  <c r="AZ356" i="3"/>
  <c r="AZ357" i="3"/>
  <c r="AZ363" i="3"/>
  <c r="AZ372" i="3"/>
  <c r="AZ373" i="3"/>
  <c r="AZ379" i="3"/>
  <c r="B8" i="1"/>
  <c r="E8" i="1" s="1"/>
  <c r="S8" i="1"/>
  <c r="R8" i="1"/>
  <c r="K8" i="1"/>
  <c r="M8" i="1" s="1"/>
  <c r="AA8" i="71"/>
  <c r="Y8" i="71"/>
  <c r="Z8" i="71" s="1"/>
  <c r="X8" i="71"/>
  <c r="AB8" i="71"/>
  <c r="F52" i="80"/>
  <c r="G29" i="6"/>
  <c r="E29" i="6" s="1"/>
  <c r="K15" i="1" s="1"/>
  <c r="G28" i="6"/>
  <c r="G30" i="6" s="1"/>
  <c r="G20" i="6"/>
  <c r="E20" i="6" s="1"/>
  <c r="D42" i="43"/>
  <c r="H42" i="43" s="1"/>
  <c r="BL260" i="3"/>
  <c r="BL261" i="3"/>
  <c r="AZ261" i="3" s="1"/>
  <c r="BL264" i="3"/>
  <c r="BL265" i="3"/>
  <c r="AZ265" i="3" s="1"/>
  <c r="BL268" i="3"/>
  <c r="BL269" i="3"/>
  <c r="AZ269" i="3" s="1"/>
  <c r="BL272" i="3"/>
  <c r="BL273" i="3"/>
  <c r="AZ273" i="3" s="1"/>
  <c r="BL276" i="3"/>
  <c r="BL277" i="3"/>
  <c r="AZ277" i="3" s="1"/>
  <c r="AZ279" i="3"/>
  <c r="AZ288" i="3"/>
  <c r="AZ289" i="3"/>
  <c r="AZ295" i="3"/>
  <c r="AZ304" i="3"/>
  <c r="AZ305" i="3"/>
  <c r="AZ311" i="3"/>
  <c r="AZ320" i="3"/>
  <c r="AZ321" i="3"/>
  <c r="AZ327" i="3"/>
  <c r="AZ336" i="3"/>
  <c r="AZ337" i="3"/>
  <c r="AZ343" i="3"/>
  <c r="AZ352" i="3"/>
  <c r="AZ353" i="3"/>
  <c r="AZ359" i="3"/>
  <c r="AZ368" i="3"/>
  <c r="AZ369" i="3"/>
  <c r="AZ375" i="3"/>
  <c r="AZ384" i="3"/>
  <c r="AZ385" i="3"/>
  <c r="AZ387" i="3"/>
  <c r="AZ392" i="3"/>
  <c r="AZ395" i="3"/>
  <c r="AZ400" i="3"/>
  <c r="AZ403" i="3"/>
  <c r="AZ408" i="3"/>
  <c r="AZ411" i="3"/>
  <c r="AZ416" i="3"/>
  <c r="AZ419" i="3"/>
  <c r="AZ424" i="3"/>
  <c r="AZ427" i="3"/>
  <c r="AZ573" i="3"/>
  <c r="G6" i="1"/>
  <c r="F30" i="11"/>
  <c r="F28" i="67"/>
  <c r="F28" i="15"/>
  <c r="D68" i="9"/>
  <c r="F53" i="9"/>
  <c r="F32" i="81"/>
  <c r="F60" i="81" s="1"/>
  <c r="M18" i="81"/>
  <c r="F52" i="9"/>
  <c r="F32" i="67"/>
  <c r="F60" i="67" s="1"/>
  <c r="M18" i="67"/>
  <c r="F30" i="68"/>
  <c r="F48" i="9"/>
  <c r="O52" i="9" s="1"/>
  <c r="F28" i="81"/>
  <c r="F31" i="12"/>
  <c r="F30" i="69"/>
  <c r="M18" i="15"/>
  <c r="F32" i="15"/>
  <c r="F60" i="15" s="1"/>
  <c r="A2" i="9"/>
  <c r="F54" i="9"/>
  <c r="J56" i="9"/>
  <c r="J57" i="9" s="1"/>
  <c r="J59" i="9" s="1"/>
  <c r="J61" i="9" s="1"/>
  <c r="N94" i="46"/>
  <c r="N370" i="46"/>
  <c r="B116" i="43"/>
  <c r="F26" i="43"/>
  <c r="E26" i="43"/>
  <c r="Z7" i="43"/>
  <c r="H26" i="43"/>
  <c r="G26" i="43"/>
  <c r="W10" i="21"/>
  <c r="AC10" i="21"/>
  <c r="AZ394" i="3"/>
  <c r="AZ402" i="3"/>
  <c r="AZ410" i="3"/>
  <c r="AZ418" i="3"/>
  <c r="AZ426" i="3"/>
  <c r="AZ569" i="3"/>
  <c r="AZ570" i="3"/>
  <c r="AZ579" i="3"/>
  <c r="D58" i="21"/>
  <c r="E58" i="21" s="1"/>
  <c r="F58" i="21" s="1"/>
  <c r="G58" i="21" s="1"/>
  <c r="H58" i="21" s="1"/>
  <c r="I58" i="21" s="1"/>
  <c r="J58" i="21" s="1"/>
  <c r="K58" i="21" s="1"/>
  <c r="L58" i="21" s="1"/>
  <c r="M58" i="21" s="1"/>
  <c r="N58" i="21" s="1"/>
  <c r="O58" i="21" s="1"/>
  <c r="AC15" i="21"/>
  <c r="AC17" i="21"/>
  <c r="W17" i="21"/>
  <c r="H9" i="35"/>
  <c r="J9" i="35"/>
  <c r="F9" i="35"/>
  <c r="BL390" i="3"/>
  <c r="AZ390" i="3" s="1"/>
  <c r="BL398" i="3"/>
  <c r="AZ398" i="3" s="1"/>
  <c r="BL406" i="3"/>
  <c r="AZ406" i="3" s="1"/>
  <c r="BL414" i="3"/>
  <c r="AZ414" i="3" s="1"/>
  <c r="BL422" i="3"/>
  <c r="AZ422" i="3" s="1"/>
  <c r="BL430" i="3"/>
  <c r="AZ430" i="3" s="1"/>
  <c r="BL530" i="3"/>
  <c r="AZ530" i="3" s="1"/>
  <c r="BL533" i="3"/>
  <c r="BL534" i="3"/>
  <c r="AZ534" i="3" s="1"/>
  <c r="BL537" i="3"/>
  <c r="BL538" i="3"/>
  <c r="AZ538" i="3" s="1"/>
  <c r="BL541" i="3"/>
  <c r="BL542" i="3"/>
  <c r="AZ542" i="3" s="1"/>
  <c r="BL545" i="3"/>
  <c r="BL546" i="3"/>
  <c r="AZ546" i="3" s="1"/>
  <c r="BL549" i="3"/>
  <c r="BL550" i="3"/>
  <c r="AZ550" i="3" s="1"/>
  <c r="BL553" i="3"/>
  <c r="BL554" i="3"/>
  <c r="AZ554" i="3" s="1"/>
  <c r="BL557" i="3"/>
  <c r="BL558" i="3"/>
  <c r="AZ558" i="3" s="1"/>
  <c r="BL561" i="3"/>
  <c r="BL562" i="3"/>
  <c r="AZ562" i="3" s="1"/>
  <c r="BL565" i="3"/>
  <c r="BL566" i="3"/>
  <c r="AZ566" i="3" s="1"/>
  <c r="BA571" i="3"/>
  <c r="AZ571" i="3" s="1"/>
  <c r="AZ578" i="3"/>
  <c r="AZ582" i="3"/>
  <c r="D55" i="43"/>
  <c r="D23" i="67"/>
  <c r="D22" i="67"/>
  <c r="D24" i="67"/>
  <c r="D38" i="77"/>
  <c r="D39" i="77" s="1"/>
  <c r="D29" i="77"/>
  <c r="D26" i="77"/>
  <c r="D32" i="77" s="1"/>
  <c r="E23" i="77"/>
  <c r="AC13" i="21"/>
  <c r="W13" i="21"/>
  <c r="BA393" i="3"/>
  <c r="AZ393" i="3" s="1"/>
  <c r="BA401" i="3"/>
  <c r="AZ401" i="3" s="1"/>
  <c r="BA409" i="3"/>
  <c r="AZ409" i="3" s="1"/>
  <c r="BA417" i="3"/>
  <c r="AZ417" i="3" s="1"/>
  <c r="BA425" i="3"/>
  <c r="AZ425" i="3" s="1"/>
  <c r="BA432" i="3"/>
  <c r="AZ432" i="3" s="1"/>
  <c r="BA433" i="3"/>
  <c r="AZ433" i="3" s="1"/>
  <c r="BA436" i="3"/>
  <c r="AZ436" i="3" s="1"/>
  <c r="BA437" i="3"/>
  <c r="AZ437" i="3" s="1"/>
  <c r="BA440" i="3"/>
  <c r="AZ440" i="3" s="1"/>
  <c r="BA441" i="3"/>
  <c r="AZ441" i="3" s="1"/>
  <c r="BA444" i="3"/>
  <c r="AZ444" i="3" s="1"/>
  <c r="BA445" i="3"/>
  <c r="AZ445" i="3" s="1"/>
  <c r="BA448" i="3"/>
  <c r="AZ448" i="3" s="1"/>
  <c r="BA449" i="3"/>
  <c r="AZ449" i="3" s="1"/>
  <c r="BA452" i="3"/>
  <c r="AZ452" i="3" s="1"/>
  <c r="BA453" i="3"/>
  <c r="AZ453" i="3" s="1"/>
  <c r="BA456" i="3"/>
  <c r="AZ456" i="3" s="1"/>
  <c r="BA457" i="3"/>
  <c r="AZ457" i="3" s="1"/>
  <c r="BA460" i="3"/>
  <c r="AZ460" i="3" s="1"/>
  <c r="BA461" i="3"/>
  <c r="AZ461" i="3" s="1"/>
  <c r="BA464" i="3"/>
  <c r="AZ464" i="3" s="1"/>
  <c r="BA465" i="3"/>
  <c r="AZ465" i="3" s="1"/>
  <c r="BA468" i="3"/>
  <c r="AZ468" i="3" s="1"/>
  <c r="BA469" i="3"/>
  <c r="AZ469" i="3" s="1"/>
  <c r="BA472" i="3"/>
  <c r="AZ472" i="3" s="1"/>
  <c r="BA473" i="3"/>
  <c r="AZ473" i="3" s="1"/>
  <c r="BA476" i="3"/>
  <c r="AZ476" i="3" s="1"/>
  <c r="BA477" i="3"/>
  <c r="AZ477" i="3" s="1"/>
  <c r="BA480" i="3"/>
  <c r="AZ480" i="3" s="1"/>
  <c r="BA481" i="3"/>
  <c r="AZ481" i="3" s="1"/>
  <c r="BA484" i="3"/>
  <c r="AZ484" i="3" s="1"/>
  <c r="BA485" i="3"/>
  <c r="AZ485" i="3" s="1"/>
  <c r="BA488" i="3"/>
  <c r="AZ488" i="3" s="1"/>
  <c r="BA489" i="3"/>
  <c r="AZ489" i="3" s="1"/>
  <c r="BA492" i="3"/>
  <c r="AZ492" i="3" s="1"/>
  <c r="BA493" i="3"/>
  <c r="AZ493" i="3" s="1"/>
  <c r="BA496" i="3"/>
  <c r="AZ496" i="3" s="1"/>
  <c r="BA497" i="3"/>
  <c r="AZ497" i="3" s="1"/>
  <c r="BA500" i="3"/>
  <c r="AZ500" i="3" s="1"/>
  <c r="BA501" i="3"/>
  <c r="AZ501" i="3" s="1"/>
  <c r="BA504" i="3"/>
  <c r="AZ504" i="3" s="1"/>
  <c r="BA505" i="3"/>
  <c r="AZ505" i="3" s="1"/>
  <c r="BA508" i="3"/>
  <c r="AZ508" i="3" s="1"/>
  <c r="BA509" i="3"/>
  <c r="AZ509" i="3" s="1"/>
  <c r="BA512" i="3"/>
  <c r="AZ512" i="3" s="1"/>
  <c r="BA513" i="3"/>
  <c r="AZ513" i="3" s="1"/>
  <c r="BA516" i="3"/>
  <c r="AZ516" i="3" s="1"/>
  <c r="BA517" i="3"/>
  <c r="AZ517" i="3" s="1"/>
  <c r="BA520" i="3"/>
  <c r="AZ520" i="3" s="1"/>
  <c r="BA521" i="3"/>
  <c r="AZ521" i="3" s="1"/>
  <c r="BA524" i="3"/>
  <c r="AZ524" i="3" s="1"/>
  <c r="BA525" i="3"/>
  <c r="AZ525" i="3" s="1"/>
  <c r="BA528" i="3"/>
  <c r="AZ528" i="3" s="1"/>
  <c r="BA529" i="3"/>
  <c r="AZ529" i="3" s="1"/>
  <c r="BA532" i="3"/>
  <c r="AZ532" i="3" s="1"/>
  <c r="BA533" i="3"/>
  <c r="AZ533" i="3" s="1"/>
  <c r="BA536" i="3"/>
  <c r="AZ536" i="3" s="1"/>
  <c r="BA537" i="3"/>
  <c r="BA540" i="3"/>
  <c r="AZ540" i="3" s="1"/>
  <c r="BA541" i="3"/>
  <c r="AZ541" i="3" s="1"/>
  <c r="BA544" i="3"/>
  <c r="AZ544" i="3" s="1"/>
  <c r="BA545" i="3"/>
  <c r="BA548" i="3"/>
  <c r="AZ548" i="3" s="1"/>
  <c r="BA549" i="3"/>
  <c r="AZ549" i="3" s="1"/>
  <c r="BA552" i="3"/>
  <c r="AZ552" i="3" s="1"/>
  <c r="BA553" i="3"/>
  <c r="BA556" i="3"/>
  <c r="AZ556" i="3" s="1"/>
  <c r="BA557" i="3"/>
  <c r="AZ557" i="3" s="1"/>
  <c r="BA560" i="3"/>
  <c r="AZ560" i="3" s="1"/>
  <c r="BA561" i="3"/>
  <c r="BA564" i="3"/>
  <c r="AZ564" i="3" s="1"/>
  <c r="BA565" i="3"/>
  <c r="AZ565" i="3" s="1"/>
  <c r="AZ572" i="3"/>
  <c r="O16" i="1"/>
  <c r="B10" i="1"/>
  <c r="E10" i="1" s="1"/>
  <c r="S10" i="1"/>
  <c r="C18" i="9"/>
  <c r="D18" i="9" s="1"/>
  <c r="H79" i="43"/>
  <c r="H76" i="43"/>
  <c r="H72" i="43"/>
  <c r="H80" i="43"/>
  <c r="H77" i="43"/>
  <c r="H75" i="43"/>
  <c r="H78" i="43"/>
  <c r="H74" i="43"/>
  <c r="F40" i="69"/>
  <c r="C21" i="69"/>
  <c r="P74" i="81"/>
  <c r="P61" i="81"/>
  <c r="AB15" i="33"/>
  <c r="BL578" i="3"/>
  <c r="BL586" i="3"/>
  <c r="AZ586" i="3" s="1"/>
  <c r="K7" i="1"/>
  <c r="B7" i="1"/>
  <c r="E7" i="1" s="1"/>
  <c r="B12" i="1"/>
  <c r="E12" i="1" s="1"/>
  <c r="S12" i="1"/>
  <c r="K12" i="1"/>
  <c r="M12" i="1" s="1"/>
  <c r="E1" i="73"/>
  <c r="K1" i="73" s="1"/>
  <c r="G41" i="11"/>
  <c r="G22" i="11"/>
  <c r="G25" i="12"/>
  <c r="G41" i="69"/>
  <c r="G22" i="69"/>
  <c r="G41" i="68"/>
  <c r="G22" i="68"/>
  <c r="G27" i="12"/>
  <c r="C92" i="9"/>
  <c r="C94" i="9"/>
  <c r="A124" i="9"/>
  <c r="A10" i="52" s="1"/>
  <c r="B55" i="72" s="1"/>
  <c r="H109" i="9"/>
  <c r="D121" i="9"/>
  <c r="D7" i="52" s="1"/>
  <c r="K120" i="9"/>
  <c r="A18" i="62" s="1"/>
  <c r="B64" i="72" s="1"/>
  <c r="L21" i="43"/>
  <c r="H21" i="43"/>
  <c r="C21" i="43"/>
  <c r="S4" i="43"/>
  <c r="H116" i="43"/>
  <c r="F37" i="43"/>
  <c r="C27" i="43"/>
  <c r="C25" i="43" s="1"/>
  <c r="M21" i="43"/>
  <c r="S6" i="43"/>
  <c r="S2" i="43"/>
  <c r="F42" i="43"/>
  <c r="O21" i="43"/>
  <c r="J21" i="43"/>
  <c r="D21" i="43"/>
  <c r="S3" i="43"/>
  <c r="E9" i="43"/>
  <c r="E11" i="43"/>
  <c r="E10" i="43"/>
  <c r="I21" i="43"/>
  <c r="A1" i="79"/>
  <c r="P29" i="43"/>
  <c r="P26" i="43"/>
  <c r="P28" i="43"/>
  <c r="B66" i="40" s="1"/>
  <c r="P25" i="43"/>
  <c r="E93" i="43"/>
  <c r="B91" i="43" s="1"/>
  <c r="R41" i="77"/>
  <c r="R35" i="77" s="1"/>
  <c r="U34" i="77" s="1"/>
  <c r="W9" i="21"/>
  <c r="AC9" i="21"/>
  <c r="AA14" i="34"/>
  <c r="S14" i="34"/>
  <c r="BL568" i="3"/>
  <c r="AZ568" i="3" s="1"/>
  <c r="BA575" i="3"/>
  <c r="AZ575" i="3" s="1"/>
  <c r="BA581" i="3"/>
  <c r="AZ581" i="3" s="1"/>
  <c r="BA583" i="3"/>
  <c r="AZ583" i="3" s="1"/>
  <c r="P27" i="6"/>
  <c r="AR12" i="1"/>
  <c r="AR10" i="1"/>
  <c r="AR8" i="1"/>
  <c r="AR11" i="1"/>
  <c r="AR13" i="1"/>
  <c r="AR9" i="1"/>
  <c r="Y7" i="1"/>
  <c r="G9" i="1"/>
  <c r="E19" i="11"/>
  <c r="E19" i="69"/>
  <c r="E19" i="68"/>
  <c r="F34" i="67"/>
  <c r="F62" i="67" s="1"/>
  <c r="F34" i="15"/>
  <c r="F62" i="15" s="1"/>
  <c r="F34" i="81"/>
  <c r="F62" i="81" s="1"/>
  <c r="M20" i="15"/>
  <c r="C17" i="40"/>
  <c r="B84" i="43"/>
  <c r="C23" i="40"/>
  <c r="B87" i="43"/>
  <c r="C29" i="39"/>
  <c r="B57" i="43"/>
  <c r="B100" i="43"/>
  <c r="B77" i="43"/>
  <c r="B68" i="43"/>
  <c r="K21" i="43"/>
  <c r="F39" i="43"/>
  <c r="F41" i="43"/>
  <c r="E72" i="43"/>
  <c r="B70" i="43" s="1"/>
  <c r="M20" i="67"/>
  <c r="R24" i="77"/>
  <c r="U40" i="21"/>
  <c r="AB40" i="21"/>
  <c r="U26" i="33"/>
  <c r="AB26" i="33"/>
  <c r="AC11" i="37"/>
  <c r="W11" i="37"/>
  <c r="G579" i="3"/>
  <c r="BL580" i="3"/>
  <c r="AZ580" i="3" s="1"/>
  <c r="G587" i="3"/>
  <c r="F3" i="35"/>
  <c r="K1" i="12"/>
  <c r="G1" i="68"/>
  <c r="B6" i="1"/>
  <c r="E6" i="1" s="1"/>
  <c r="G1" i="69"/>
  <c r="R11" i="1"/>
  <c r="F34" i="11"/>
  <c r="F11" i="12"/>
  <c r="C23" i="12" s="1"/>
  <c r="F34" i="68"/>
  <c r="C36" i="68" s="1"/>
  <c r="E37" i="11"/>
  <c r="F17" i="81"/>
  <c r="F17" i="67"/>
  <c r="F17" i="15"/>
  <c r="E37" i="69"/>
  <c r="C15" i="39"/>
  <c r="B72" i="43"/>
  <c r="C19" i="39"/>
  <c r="B61" i="43"/>
  <c r="C25" i="39"/>
  <c r="B69" i="43"/>
  <c r="M11" i="43"/>
  <c r="N10" i="43"/>
  <c r="M9" i="43"/>
  <c r="M8" i="43"/>
  <c r="N7" i="43"/>
  <c r="N6" i="43"/>
  <c r="N5" i="43"/>
  <c r="N3" i="43"/>
  <c r="N2" i="43"/>
  <c r="N1" i="43"/>
  <c r="F50" i="43" s="1"/>
  <c r="M3" i="43"/>
  <c r="M7" i="43"/>
  <c r="N8" i="43"/>
  <c r="B75" i="43"/>
  <c r="B79" i="43"/>
  <c r="G1" i="67"/>
  <c r="R5" i="77"/>
  <c r="U5" i="77" s="1"/>
  <c r="D22" i="81"/>
  <c r="D24" i="81"/>
  <c r="W8" i="21"/>
  <c r="AC8" i="21"/>
  <c r="AA25" i="21"/>
  <c r="AB26" i="21"/>
  <c r="AA29" i="21"/>
  <c r="AB30" i="21"/>
  <c r="U31" i="21"/>
  <c r="S35" i="21"/>
  <c r="S41" i="21"/>
  <c r="AA27" i="21"/>
  <c r="S27" i="21"/>
  <c r="S31" i="21"/>
  <c r="AA31" i="21"/>
  <c r="S9" i="33"/>
  <c r="AB30" i="33"/>
  <c r="U30" i="33"/>
  <c r="W41" i="33"/>
  <c r="AC41" i="33"/>
  <c r="AC41" i="34"/>
  <c r="W41" i="34"/>
  <c r="W46" i="34"/>
  <c r="AC46" i="34"/>
  <c r="W31" i="40"/>
  <c r="AC31" i="40"/>
  <c r="W31" i="21"/>
  <c r="W33" i="21"/>
  <c r="AC33" i="21"/>
  <c r="U34" i="21"/>
  <c r="AB28" i="21"/>
  <c r="U28" i="21"/>
  <c r="S35" i="33"/>
  <c r="AB28" i="34"/>
  <c r="AB18" i="36"/>
  <c r="U18" i="36"/>
  <c r="G575" i="3"/>
  <c r="BL576" i="3"/>
  <c r="AZ576" i="3" s="1"/>
  <c r="G583" i="3"/>
  <c r="BL584" i="3"/>
  <c r="AZ584" i="3" s="1"/>
  <c r="C7" i="39"/>
  <c r="C67" i="39" s="1"/>
  <c r="C7" i="37"/>
  <c r="C52" i="37" s="1"/>
  <c r="C7" i="35"/>
  <c r="C48" i="35" s="1"/>
  <c r="C7" i="40"/>
  <c r="C63" i="40" s="1"/>
  <c r="C7" i="33"/>
  <c r="C58" i="33" s="1"/>
  <c r="C7" i="34"/>
  <c r="C59" i="34" s="1"/>
  <c r="C7" i="36"/>
  <c r="C46" i="36" s="1"/>
  <c r="C42" i="1"/>
  <c r="C31" i="12" s="1"/>
  <c r="R9" i="1"/>
  <c r="G10" i="1"/>
  <c r="R13" i="1"/>
  <c r="B23" i="1"/>
  <c r="M47" i="9"/>
  <c r="M1" i="43"/>
  <c r="C6" i="43" s="1"/>
  <c r="M4" i="43"/>
  <c r="M5" i="43"/>
  <c r="M12" i="43"/>
  <c r="C44" i="43"/>
  <c r="B58" i="43"/>
  <c r="H67" i="43"/>
  <c r="H64" i="43"/>
  <c r="H61" i="43"/>
  <c r="H63" i="43"/>
  <c r="H66" i="43"/>
  <c r="H68" i="43"/>
  <c r="H90" i="43"/>
  <c r="H87" i="43"/>
  <c r="H83" i="43"/>
  <c r="H85" i="43"/>
  <c r="H89" i="43"/>
  <c r="B97" i="43"/>
  <c r="D23" i="15"/>
  <c r="D22" i="15"/>
  <c r="W36" i="21"/>
  <c r="AC36" i="21"/>
  <c r="S38" i="21"/>
  <c r="W40" i="21"/>
  <c r="W44" i="21"/>
  <c r="AC44" i="21"/>
  <c r="W45" i="21"/>
  <c r="AC45" i="21"/>
  <c r="AB23" i="33"/>
  <c r="AC39" i="33"/>
  <c r="W39" i="33"/>
  <c r="C29" i="77"/>
  <c r="C32" i="77"/>
  <c r="C38" i="77" s="1"/>
  <c r="C39" i="77" s="1"/>
  <c r="S10" i="21"/>
  <c r="U11" i="21"/>
  <c r="W12" i="21"/>
  <c r="S14" i="21"/>
  <c r="S15" i="21"/>
  <c r="S17" i="21"/>
  <c r="S19" i="21"/>
  <c r="S21" i="21"/>
  <c r="S23" i="21"/>
  <c r="U25" i="21"/>
  <c r="W26" i="21"/>
  <c r="S28" i="21"/>
  <c r="U29" i="21"/>
  <c r="W30" i="21"/>
  <c r="AB44" i="21"/>
  <c r="AA45" i="21"/>
  <c r="S11" i="33"/>
  <c r="W13" i="33"/>
  <c r="AB14" i="33"/>
  <c r="AB21" i="33"/>
  <c r="S25" i="33"/>
  <c r="W27" i="33"/>
  <c r="AB28" i="33"/>
  <c r="S37" i="33"/>
  <c r="AB40" i="33"/>
  <c r="S43" i="33"/>
  <c r="H29" i="33"/>
  <c r="J29" i="33"/>
  <c r="W10" i="34"/>
  <c r="AC11" i="34"/>
  <c r="W17" i="34"/>
  <c r="AB19" i="34"/>
  <c r="U19" i="34"/>
  <c r="S27" i="34"/>
  <c r="AB29" i="34"/>
  <c r="U29" i="34"/>
  <c r="AB38" i="34"/>
  <c r="H12" i="34"/>
  <c r="F12" i="34"/>
  <c r="S21" i="37"/>
  <c r="S29" i="37"/>
  <c r="W33" i="37"/>
  <c r="AC33" i="37"/>
  <c r="S11" i="35"/>
  <c r="AC11" i="39"/>
  <c r="W11" i="39"/>
  <c r="W31" i="39"/>
  <c r="AC31" i="39"/>
  <c r="S40" i="39"/>
  <c r="B83" i="43"/>
  <c r="H94" i="43"/>
  <c r="H97" i="43"/>
  <c r="S9" i="21"/>
  <c r="U10" i="21"/>
  <c r="W11" i="21"/>
  <c r="S13" i="21"/>
  <c r="U14" i="21"/>
  <c r="U15" i="21"/>
  <c r="U17" i="21"/>
  <c r="U19" i="21"/>
  <c r="U21" i="21"/>
  <c r="U23" i="21"/>
  <c r="W25" i="21"/>
  <c r="W29" i="21"/>
  <c r="AC43" i="21"/>
  <c r="AA46" i="21"/>
  <c r="AB8" i="33"/>
  <c r="AC9" i="33"/>
  <c r="F13" i="33"/>
  <c r="AB19" i="33"/>
  <c r="F29" i="33"/>
  <c r="W31" i="33"/>
  <c r="AC35" i="33"/>
  <c r="AB44" i="33"/>
  <c r="U46" i="33"/>
  <c r="J12" i="34"/>
  <c r="S33" i="34"/>
  <c r="S36" i="34"/>
  <c r="S39" i="34"/>
  <c r="S9" i="37"/>
  <c r="S18" i="35"/>
  <c r="S23" i="35"/>
  <c r="AA23" i="35"/>
  <c r="AB45" i="21"/>
  <c r="U45" i="21"/>
  <c r="AB17" i="33"/>
  <c r="AC25" i="33"/>
  <c r="AB34" i="33"/>
  <c r="AB13" i="33"/>
  <c r="U13" i="33"/>
  <c r="J26" i="33"/>
  <c r="F26" i="33"/>
  <c r="F44" i="33"/>
  <c r="J44" i="33"/>
  <c r="AB15" i="34"/>
  <c r="U15" i="34"/>
  <c r="AB23" i="34"/>
  <c r="U23" i="34"/>
  <c r="W34" i="34"/>
  <c r="AC34" i="34"/>
  <c r="J9" i="34"/>
  <c r="H9" i="34"/>
  <c r="F9" i="34"/>
  <c r="AB12" i="37"/>
  <c r="U8" i="35"/>
  <c r="AB8" i="35"/>
  <c r="J36" i="35"/>
  <c r="F36" i="35"/>
  <c r="H36" i="35"/>
  <c r="W34" i="36"/>
  <c r="AC34" i="36"/>
  <c r="AA39" i="40"/>
  <c r="S39" i="40"/>
  <c r="AA44" i="21"/>
  <c r="S44" i="21"/>
  <c r="K144" i="21"/>
  <c r="AC27" i="34"/>
  <c r="S41" i="34"/>
  <c r="F29" i="34"/>
  <c r="J29" i="34"/>
  <c r="AA8" i="37"/>
  <c r="S8" i="37"/>
  <c r="S11" i="37"/>
  <c r="S17" i="37"/>
  <c r="U26" i="37"/>
  <c r="AB26" i="37"/>
  <c r="S37" i="37"/>
  <c r="H25" i="37"/>
  <c r="J25" i="37"/>
  <c r="F25" i="37"/>
  <c r="W14" i="35"/>
  <c r="AC14" i="35"/>
  <c r="S30" i="35"/>
  <c r="W34" i="35"/>
  <c r="AC34" i="35"/>
  <c r="S28" i="36"/>
  <c r="W15" i="39"/>
  <c r="AC15" i="39"/>
  <c r="J46" i="33"/>
  <c r="F46" i="33"/>
  <c r="S10" i="34"/>
  <c r="S17" i="34"/>
  <c r="S21" i="34"/>
  <c r="AB25" i="34"/>
  <c r="AA32" i="34"/>
  <c r="AC39" i="34"/>
  <c r="AC42" i="34"/>
  <c r="S44" i="34"/>
  <c r="F46" i="34"/>
  <c r="H46" i="34"/>
  <c r="AC9" i="37"/>
  <c r="S14" i="37"/>
  <c r="U32" i="37"/>
  <c r="AB32" i="37"/>
  <c r="H13" i="37"/>
  <c r="J13" i="37"/>
  <c r="U24" i="35"/>
  <c r="AB24" i="35"/>
  <c r="W26" i="35"/>
  <c r="AC26" i="35"/>
  <c r="AB14" i="36"/>
  <c r="U14" i="36"/>
  <c r="AC22" i="36"/>
  <c r="W22" i="36"/>
  <c r="AB27" i="36"/>
  <c r="U27" i="36"/>
  <c r="AC13" i="39"/>
  <c r="W13" i="39"/>
  <c r="S32" i="21"/>
  <c r="U33" i="21"/>
  <c r="W34" i="21"/>
  <c r="S36" i="21"/>
  <c r="U37" i="21"/>
  <c r="W38" i="21"/>
  <c r="S40" i="21"/>
  <c r="U41" i="21"/>
  <c r="W42" i="21"/>
  <c r="W46" i="21"/>
  <c r="K145" i="21"/>
  <c r="U9" i="33"/>
  <c r="W10" i="33"/>
  <c r="S12" i="33"/>
  <c r="W14" i="33"/>
  <c r="W15" i="33"/>
  <c r="W17" i="33"/>
  <c r="W19" i="33"/>
  <c r="W21" i="33"/>
  <c r="W23" i="33"/>
  <c r="U27" i="33"/>
  <c r="W28" i="33"/>
  <c r="S30" i="33"/>
  <c r="U31" i="33"/>
  <c r="W32" i="33"/>
  <c r="S34" i="33"/>
  <c r="U35" i="33"/>
  <c r="W36" i="33"/>
  <c r="S38" i="33"/>
  <c r="U39" i="33"/>
  <c r="W40" i="33"/>
  <c r="S42" i="33"/>
  <c r="U43" i="33"/>
  <c r="W8" i="34"/>
  <c r="AC28" i="34"/>
  <c r="W28" i="34"/>
  <c r="AC32" i="34"/>
  <c r="W32" i="34"/>
  <c r="AA15" i="37"/>
  <c r="AA19" i="37"/>
  <c r="S27" i="37"/>
  <c r="U28" i="37"/>
  <c r="W29" i="37"/>
  <c r="AA31" i="37"/>
  <c r="U36" i="37"/>
  <c r="W37" i="37"/>
  <c r="AA26" i="37"/>
  <c r="S26" i="37"/>
  <c r="J40" i="37"/>
  <c r="F40" i="37"/>
  <c r="U10" i="35"/>
  <c r="W11" i="35"/>
  <c r="S13" i="35"/>
  <c r="AA16" i="35"/>
  <c r="W18" i="35"/>
  <c r="S20" i="35"/>
  <c r="U22" i="35"/>
  <c r="S25" i="35"/>
  <c r="S28" i="35"/>
  <c r="U29" i="35"/>
  <c r="W30" i="35"/>
  <c r="AB23" i="35"/>
  <c r="U23" i="35"/>
  <c r="U11" i="36"/>
  <c r="AB11" i="36"/>
  <c r="AA12" i="36"/>
  <c r="S12" i="36"/>
  <c r="U31" i="36"/>
  <c r="AB31" i="36"/>
  <c r="AA32" i="36"/>
  <c r="S32" i="36"/>
  <c r="F9" i="36"/>
  <c r="J9" i="36"/>
  <c r="AA33" i="36"/>
  <c r="S33" i="36"/>
  <c r="AB39" i="39"/>
  <c r="U39" i="39"/>
  <c r="AC44" i="39"/>
  <c r="W44" i="39"/>
  <c r="S12" i="40"/>
  <c r="AB27" i="37"/>
  <c r="U27" i="37"/>
  <c r="J12" i="35"/>
  <c r="F12" i="35"/>
  <c r="F34" i="35"/>
  <c r="H34" i="35"/>
  <c r="AB13" i="36"/>
  <c r="U13" i="36"/>
  <c r="AB16" i="36"/>
  <c r="U16" i="36"/>
  <c r="AB20" i="36"/>
  <c r="U20" i="36"/>
  <c r="S22" i="36"/>
  <c r="AC28" i="36"/>
  <c r="W28" i="36"/>
  <c r="S11" i="39"/>
  <c r="S13" i="39"/>
  <c r="AC40" i="39"/>
  <c r="W40" i="39"/>
  <c r="U11" i="40"/>
  <c r="AB11" i="40"/>
  <c r="AC32" i="40"/>
  <c r="S10" i="33"/>
  <c r="U11" i="33"/>
  <c r="W12" i="33"/>
  <c r="S14" i="33"/>
  <c r="S15" i="33"/>
  <c r="S17" i="33"/>
  <c r="S19" i="33"/>
  <c r="S21" i="33"/>
  <c r="S23" i="33"/>
  <c r="U25" i="33"/>
  <c r="S28" i="33"/>
  <c r="W30" i="33"/>
  <c r="S32" i="33"/>
  <c r="U33" i="33"/>
  <c r="W34" i="33"/>
  <c r="S36" i="33"/>
  <c r="U37" i="33"/>
  <c r="W38" i="33"/>
  <c r="S40" i="33"/>
  <c r="U41" i="33"/>
  <c r="W42" i="33"/>
  <c r="U45" i="33"/>
  <c r="AA30" i="34"/>
  <c r="S30" i="34"/>
  <c r="J27" i="37"/>
  <c r="AA12" i="37"/>
  <c r="S12" i="37"/>
  <c r="F38" i="37"/>
  <c r="J38" i="37"/>
  <c r="S32" i="35"/>
  <c r="AB25" i="35"/>
  <c r="U25" i="35"/>
  <c r="W24" i="36"/>
  <c r="AC24" i="36"/>
  <c r="H12" i="36"/>
  <c r="J12" i="36"/>
  <c r="H24" i="36"/>
  <c r="F24" i="36"/>
  <c r="AC17" i="39"/>
  <c r="W27" i="39"/>
  <c r="AC27" i="39"/>
  <c r="W12" i="40"/>
  <c r="AC12" i="40"/>
  <c r="S23" i="37"/>
  <c r="W26" i="37"/>
  <c r="S28" i="37"/>
  <c r="U29" i="37"/>
  <c r="W30" i="37"/>
  <c r="S32" i="37"/>
  <c r="U33" i="37"/>
  <c r="W34" i="37"/>
  <c r="S36" i="37"/>
  <c r="U37" i="37"/>
  <c r="W10" i="35"/>
  <c r="U13" i="35"/>
  <c r="U14" i="35"/>
  <c r="U16" i="35"/>
  <c r="U18" i="35"/>
  <c r="U20" i="35"/>
  <c r="W22" i="35"/>
  <c r="S24" i="35"/>
  <c r="U26" i="35"/>
  <c r="W27" i="35"/>
  <c r="S29" i="35"/>
  <c r="U30" i="35"/>
  <c r="W31" i="35"/>
  <c r="AC8" i="36"/>
  <c r="S26" i="36"/>
  <c r="AB34" i="36"/>
  <c r="U34" i="36"/>
  <c r="AC21" i="39"/>
  <c r="AC25" i="39"/>
  <c r="W19" i="40"/>
  <c r="AC19" i="40"/>
  <c r="W23" i="40"/>
  <c r="AC23" i="40"/>
  <c r="S25" i="40"/>
  <c r="AB27" i="40"/>
  <c r="U27" i="40"/>
  <c r="AB35" i="40"/>
  <c r="S38" i="40"/>
  <c r="F31" i="40"/>
  <c r="H31" i="40"/>
  <c r="S11" i="34"/>
  <c r="W13" i="34"/>
  <c r="S25" i="34"/>
  <c r="U27" i="34"/>
  <c r="U31" i="34"/>
  <c r="S34" i="34"/>
  <c r="U35" i="34"/>
  <c r="W36" i="34"/>
  <c r="S38" i="34"/>
  <c r="U39" i="34"/>
  <c r="W40" i="34"/>
  <c r="S42" i="34"/>
  <c r="U43" i="34"/>
  <c r="W44" i="34"/>
  <c r="U47" i="34"/>
  <c r="U9" i="37"/>
  <c r="W10" i="37"/>
  <c r="W14" i="37"/>
  <c r="W15" i="37"/>
  <c r="W17" i="37"/>
  <c r="W19" i="37"/>
  <c r="W21" i="37"/>
  <c r="W23" i="37"/>
  <c r="W28" i="37"/>
  <c r="S30" i="37"/>
  <c r="U31" i="37"/>
  <c r="W32" i="37"/>
  <c r="S34" i="37"/>
  <c r="U35" i="37"/>
  <c r="W36" i="37"/>
  <c r="U39" i="37"/>
  <c r="S10" i="35"/>
  <c r="U11" i="35"/>
  <c r="S22" i="35"/>
  <c r="W24" i="35"/>
  <c r="S27" i="35"/>
  <c r="U28" i="35"/>
  <c r="W29" i="35"/>
  <c r="S31" i="35"/>
  <c r="AA8" i="36"/>
  <c r="F34" i="36"/>
  <c r="AB32" i="36"/>
  <c r="U32" i="36"/>
  <c r="AC14" i="39"/>
  <c r="AB35" i="39"/>
  <c r="U35" i="39"/>
  <c r="S36" i="39"/>
  <c r="AA36" i="39"/>
  <c r="AC37" i="39"/>
  <c r="W37" i="39"/>
  <c r="AA43" i="39"/>
  <c r="S43" i="39"/>
  <c r="AB9" i="40"/>
  <c r="U9" i="40"/>
  <c r="W21" i="40"/>
  <c r="AC21" i="40"/>
  <c r="AB30" i="40"/>
  <c r="U30" i="40"/>
  <c r="AC38" i="40"/>
  <c r="W38" i="40"/>
  <c r="AA40" i="40"/>
  <c r="J33" i="40"/>
  <c r="F33" i="40"/>
  <c r="H33" i="40"/>
  <c r="S11" i="36"/>
  <c r="W13" i="36"/>
  <c r="W14" i="36"/>
  <c r="W16" i="36"/>
  <c r="W18" i="36"/>
  <c r="W20" i="36"/>
  <c r="S23" i="36"/>
  <c r="W25" i="36"/>
  <c r="S27" i="36"/>
  <c r="U28" i="36"/>
  <c r="W29" i="36"/>
  <c r="S31" i="36"/>
  <c r="W33" i="36"/>
  <c r="U9" i="39"/>
  <c r="S34" i="39"/>
  <c r="S38" i="39"/>
  <c r="AB31" i="39"/>
  <c r="U31" i="39"/>
  <c r="AB36" i="39"/>
  <c r="U36" i="39"/>
  <c r="S14" i="40"/>
  <c r="S15" i="40"/>
  <c r="S17" i="40"/>
  <c r="S28" i="40"/>
  <c r="S36" i="40"/>
  <c r="AB39" i="40"/>
  <c r="W32" i="35"/>
  <c r="U35" i="35"/>
  <c r="U10" i="36"/>
  <c r="W11" i="36"/>
  <c r="S13" i="36"/>
  <c r="S14" i="36"/>
  <c r="S16" i="36"/>
  <c r="S18" i="36"/>
  <c r="S20" i="36"/>
  <c r="U22" i="36"/>
  <c r="W23" i="36"/>
  <c r="S25" i="36"/>
  <c r="U26" i="36"/>
  <c r="W27" i="36"/>
  <c r="S29" i="36"/>
  <c r="U30" i="36"/>
  <c r="W31" i="36"/>
  <c r="U11" i="39"/>
  <c r="AC12" i="39"/>
  <c r="W12" i="39"/>
  <c r="AB44" i="39"/>
  <c r="U44" i="39"/>
  <c r="AA8" i="40"/>
  <c r="AC36" i="40"/>
  <c r="W29" i="39"/>
  <c r="S32" i="39"/>
  <c r="U34" i="39"/>
  <c r="W35" i="39"/>
  <c r="S37" i="39"/>
  <c r="U38" i="39"/>
  <c r="W39" i="39"/>
  <c r="S41" i="39"/>
  <c r="U42" i="39"/>
  <c r="W43" i="39"/>
  <c r="S45" i="39"/>
  <c r="S9" i="40"/>
  <c r="W11" i="40"/>
  <c r="S13" i="40"/>
  <c r="U14" i="40"/>
  <c r="U15" i="40"/>
  <c r="U17" i="40"/>
  <c r="U19" i="40"/>
  <c r="U21" i="40"/>
  <c r="U23" i="40"/>
  <c r="AB40" i="40"/>
  <c r="U40" i="40"/>
  <c r="S14" i="39"/>
  <c r="S15" i="39"/>
  <c r="S17" i="39"/>
  <c r="S19" i="39"/>
  <c r="S21" i="39"/>
  <c r="S23" i="39"/>
  <c r="S25" i="39"/>
  <c r="S27" i="39"/>
  <c r="S29" i="39"/>
  <c r="W32" i="39"/>
  <c r="S35" i="39"/>
  <c r="S39" i="39"/>
  <c r="U40" i="39"/>
  <c r="W41" i="39"/>
  <c r="W45" i="39"/>
  <c r="W9" i="40"/>
  <c r="S11" i="40"/>
  <c r="U12" i="40"/>
  <c r="W13" i="40"/>
  <c r="AB32" i="40"/>
  <c r="U32" i="40"/>
  <c r="N3" i="79"/>
  <c r="T13" i="79"/>
  <c r="W13" i="79" s="1"/>
  <c r="S14" i="79"/>
  <c r="R15" i="79"/>
  <c r="V15" i="79"/>
  <c r="U16" i="79"/>
  <c r="T17" i="79"/>
  <c r="W17" i="79" s="1"/>
  <c r="T21" i="79"/>
  <c r="W21" i="79" s="1"/>
  <c r="T33" i="79"/>
  <c r="W33" i="79" s="1"/>
  <c r="T37" i="79"/>
  <c r="W37" i="79" s="1"/>
  <c r="T41" i="79"/>
  <c r="W41" i="79" s="1"/>
  <c r="T46" i="79"/>
  <c r="W46" i="79" s="1"/>
  <c r="T3" i="79"/>
  <c r="W3" i="79" s="1"/>
  <c r="P13" i="79"/>
  <c r="P17" i="79"/>
  <c r="T20" i="79"/>
  <c r="W20" i="79" s="1"/>
  <c r="P36" i="79"/>
  <c r="P40" i="79"/>
  <c r="S44" i="79"/>
  <c r="T44" i="79"/>
  <c r="W44" i="79" s="1"/>
  <c r="T45" i="79"/>
  <c r="W45" i="79" s="1"/>
  <c r="U46" i="79"/>
  <c r="U47" i="79"/>
  <c r="W25" i="40"/>
  <c r="S35" i="40"/>
  <c r="U36" i="40"/>
  <c r="W37" i="40"/>
  <c r="T43" i="79"/>
  <c r="W43" i="79" s="1"/>
  <c r="AA3" i="71"/>
  <c r="Y10" i="71"/>
  <c r="Z10" i="71" s="1"/>
  <c r="V20" i="71"/>
  <c r="E19" i="71"/>
  <c r="E18" i="71" s="1"/>
  <c r="E17" i="71" s="1"/>
  <c r="E16" i="71" s="1"/>
  <c r="S24" i="71"/>
  <c r="B23" i="71"/>
  <c r="B22" i="71" s="1"/>
  <c r="B21" i="71" s="1"/>
  <c r="B20" i="71" s="1"/>
  <c r="S28" i="71"/>
  <c r="B27" i="71"/>
  <c r="B26" i="71" s="1"/>
  <c r="X24" i="71"/>
  <c r="X28" i="71"/>
  <c r="AA30" i="71"/>
  <c r="AA31" i="71"/>
  <c r="AB31" i="71"/>
  <c r="AB32" i="71"/>
  <c r="AA38" i="71"/>
  <c r="AA39" i="71"/>
  <c r="AA37" i="71"/>
  <c r="C63" i="71"/>
  <c r="D62" i="71"/>
  <c r="Q66" i="71"/>
  <c r="Q65" i="71"/>
  <c r="C23" i="71"/>
  <c r="D24" i="71"/>
  <c r="U24" i="71" s="1"/>
  <c r="C27" i="71"/>
  <c r="D28" i="71"/>
  <c r="U28" i="71" s="1"/>
  <c r="AA29" i="71"/>
  <c r="C31" i="71"/>
  <c r="X33" i="71"/>
  <c r="Y34" i="71"/>
  <c r="Z34" i="71" s="1"/>
  <c r="Y35" i="71"/>
  <c r="Z35" i="71" s="1"/>
  <c r="C39" i="71"/>
  <c r="C47" i="71"/>
  <c r="D47" i="71" s="1"/>
  <c r="D46" i="71"/>
  <c r="C51" i="71"/>
  <c r="D50" i="71"/>
  <c r="AB10" i="71"/>
  <c r="AA13" i="71"/>
  <c r="AB14" i="71"/>
  <c r="AA17" i="71"/>
  <c r="AB18" i="71"/>
  <c r="AA21" i="71"/>
  <c r="AB22" i="71"/>
  <c r="AA25" i="71"/>
  <c r="AB26" i="71"/>
  <c r="AB29" i="71"/>
  <c r="D30" i="71"/>
  <c r="AB30" i="71"/>
  <c r="X31" i="71"/>
  <c r="Y32" i="71"/>
  <c r="Z32" i="71" s="1"/>
  <c r="AA32" i="71"/>
  <c r="Y33" i="71"/>
  <c r="Z33" i="71" s="1"/>
  <c r="AA34" i="71"/>
  <c r="AA35" i="71"/>
  <c r="AA33" i="71"/>
  <c r="AB35" i="71"/>
  <c r="AB36" i="71"/>
  <c r="C55" i="71"/>
  <c r="D54" i="71"/>
  <c r="N65" i="71"/>
  <c r="N66" i="71"/>
  <c r="AA28" i="71"/>
  <c r="X30" i="71"/>
  <c r="Y31" i="71"/>
  <c r="Z31" i="71" s="1"/>
  <c r="C36" i="71"/>
  <c r="D35" i="71"/>
  <c r="X37" i="71"/>
  <c r="C43" i="71"/>
  <c r="D42" i="71"/>
  <c r="C59" i="71"/>
  <c r="D58" i="71"/>
  <c r="P67" i="71"/>
  <c r="E66" i="71"/>
  <c r="Q67" i="71"/>
  <c r="P68" i="71"/>
  <c r="U68" i="71"/>
  <c r="U72" i="71"/>
  <c r="U76" i="71"/>
  <c r="U80" i="71"/>
  <c r="D66" i="71"/>
  <c r="N67" i="71"/>
  <c r="Q68" i="71"/>
  <c r="J1" i="73"/>
  <c r="D67" i="71"/>
  <c r="N68" i="71"/>
  <c r="D68" i="71"/>
  <c r="O68" i="71"/>
  <c r="D72" i="71"/>
  <c r="D76" i="71"/>
  <c r="D80" i="71"/>
  <c r="F12" i="49"/>
  <c r="H12" i="49" s="1"/>
  <c r="F4" i="49"/>
  <c r="H4" i="49" s="1"/>
  <c r="F14" i="49"/>
  <c r="H14" i="49" s="1"/>
  <c r="F6" i="49"/>
  <c r="H6" i="49" s="1"/>
  <c r="F9" i="49"/>
  <c r="H9" i="49" s="1"/>
  <c r="F5" i="49"/>
  <c r="H5" i="49" s="1"/>
  <c r="F10" i="49"/>
  <c r="H10" i="49" s="1"/>
  <c r="J52" i="43"/>
  <c r="D53" i="43"/>
  <c r="D56" i="43"/>
  <c r="J58" i="43"/>
  <c r="F8" i="49"/>
  <c r="H8" i="49" s="1"/>
  <c r="F13" i="49"/>
  <c r="H13" i="49" s="1"/>
  <c r="D50" i="43"/>
  <c r="F7" i="49"/>
  <c r="H7" i="49" s="1"/>
  <c r="F11" i="49"/>
  <c r="H11" i="49" s="1"/>
  <c r="C27" i="15"/>
  <c r="F65" i="15"/>
  <c r="B20" i="31"/>
  <c r="B21" i="31" s="1"/>
  <c r="F51" i="15"/>
  <c r="F68" i="15"/>
  <c r="L59" i="15"/>
  <c r="N59" i="15"/>
  <c r="L58" i="15"/>
  <c r="M59" i="15"/>
  <c r="L60" i="15"/>
  <c r="I54" i="15"/>
  <c r="L57" i="15"/>
  <c r="L56" i="15"/>
  <c r="J57" i="15"/>
  <c r="J55" i="15" s="1"/>
  <c r="J58" i="15" s="1"/>
  <c r="Q50" i="15" s="1"/>
  <c r="J53" i="15"/>
  <c r="F64" i="15"/>
  <c r="F66" i="15"/>
  <c r="I1" i="73"/>
  <c r="B39" i="1" s="1"/>
  <c r="Q71" i="15"/>
  <c r="B4" i="49"/>
  <c r="D4" i="49" s="1"/>
  <c r="B5" i="49"/>
  <c r="D5" i="49" s="1"/>
  <c r="B6" i="49"/>
  <c r="D6" i="49" s="1"/>
  <c r="B7" i="49"/>
  <c r="D7" i="49" s="1"/>
  <c r="B8" i="49"/>
  <c r="D8" i="49" s="1"/>
  <c r="B9" i="49"/>
  <c r="D9" i="49" s="1"/>
  <c r="B10" i="49"/>
  <c r="B11" i="49"/>
  <c r="B12" i="49"/>
  <c r="D12" i="49" s="1"/>
  <c r="B13" i="49"/>
  <c r="D13" i="49" s="1"/>
  <c r="B14" i="49"/>
  <c r="D14" i="49" s="1"/>
  <c r="F8" i="81"/>
  <c r="F36" i="81"/>
  <c r="L47" i="81"/>
  <c r="F13" i="15"/>
  <c r="M23" i="81"/>
  <c r="F9" i="81"/>
  <c r="F43" i="81"/>
  <c r="M8" i="81"/>
  <c r="M29" i="81"/>
  <c r="M24" i="81"/>
  <c r="M28" i="81"/>
  <c r="F7" i="81"/>
  <c r="F37" i="81"/>
  <c r="F40" i="81"/>
  <c r="M9" i="81"/>
  <c r="M22" i="81"/>
  <c r="J15" i="81"/>
  <c r="F26" i="81"/>
  <c r="L48" i="81"/>
  <c r="F6" i="81"/>
  <c r="F42" i="81"/>
  <c r="M6" i="81"/>
  <c r="M26" i="81"/>
  <c r="C76" i="81"/>
  <c r="F16" i="81"/>
  <c r="F13" i="81"/>
  <c r="M27" i="81"/>
  <c r="F38" i="81"/>
  <c r="D26" i="43" l="1"/>
  <c r="W6" i="79"/>
  <c r="W5" i="79"/>
  <c r="W7" i="79"/>
  <c r="P27" i="43"/>
  <c r="B70" i="39" s="1"/>
  <c r="O23" i="43"/>
  <c r="C15" i="12"/>
  <c r="F65" i="81"/>
  <c r="F64" i="81"/>
  <c r="C27" i="81"/>
  <c r="Q71" i="81"/>
  <c r="M59" i="81"/>
  <c r="L59" i="81"/>
  <c r="Q74" i="81" s="1"/>
  <c r="L58" i="81"/>
  <c r="Q60" i="81" s="1"/>
  <c r="N59" i="81"/>
  <c r="F66" i="81"/>
  <c r="F50" i="81"/>
  <c r="M7" i="81"/>
  <c r="J6" i="81" s="1"/>
  <c r="J19" i="81" s="1"/>
  <c r="C6" i="81"/>
  <c r="C33" i="81" s="1"/>
  <c r="F51" i="81"/>
  <c r="L56" i="81"/>
  <c r="L60" i="81"/>
  <c r="Q57" i="81" s="1"/>
  <c r="J57" i="81"/>
  <c r="J55" i="81" s="1"/>
  <c r="J58" i="81" s="1"/>
  <c r="Q50" i="81" s="1"/>
  <c r="L57" i="81"/>
  <c r="I54" i="81"/>
  <c r="J53" i="81"/>
  <c r="Q52" i="81" s="1"/>
  <c r="F68" i="81"/>
  <c r="F71" i="81"/>
  <c r="H56" i="43"/>
  <c r="H53" i="43"/>
  <c r="H52" i="43"/>
  <c r="H57" i="43"/>
  <c r="H55" i="43"/>
  <c r="H51" i="43"/>
  <c r="H58" i="43"/>
  <c r="H50" i="43"/>
  <c r="H54" i="43"/>
  <c r="AA24" i="36"/>
  <c r="S24" i="36"/>
  <c r="AA34" i="35"/>
  <c r="S34" i="35"/>
  <c r="AC9" i="36"/>
  <c r="W9" i="36"/>
  <c r="AC40" i="37"/>
  <c r="W40" i="37"/>
  <c r="AB46" i="34"/>
  <c r="U46" i="34"/>
  <c r="AA25" i="37"/>
  <c r="S25" i="37"/>
  <c r="S9" i="34"/>
  <c r="AA9" i="34"/>
  <c r="AC26" i="33"/>
  <c r="W26" i="33"/>
  <c r="W12" i="34"/>
  <c r="AC12" i="34"/>
  <c r="S13" i="33"/>
  <c r="AA13" i="33"/>
  <c r="AB12" i="34"/>
  <c r="U12" i="34"/>
  <c r="H7" i="34"/>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J7" i="37"/>
  <c r="F7" i="37"/>
  <c r="H7" i="37"/>
  <c r="E26" i="77"/>
  <c r="E38" i="77"/>
  <c r="E39" i="77" s="1"/>
  <c r="E29" i="77"/>
  <c r="E32" i="77"/>
  <c r="AA9" i="35"/>
  <c r="S9" i="35"/>
  <c r="J7" i="2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0" i="43"/>
  <c r="E120" i="43" s="1"/>
  <c r="F120" i="43" s="1"/>
  <c r="G120" i="43" s="1"/>
  <c r="H120" i="43" s="1"/>
  <c r="D118" i="43"/>
  <c r="E118" i="43" s="1"/>
  <c r="F118" i="43" s="1"/>
  <c r="G118" i="43" s="1"/>
  <c r="H118" i="43" s="1"/>
  <c r="D121" i="43"/>
  <c r="E121" i="43" s="1"/>
  <c r="F121" i="43" s="1"/>
  <c r="D119" i="43"/>
  <c r="E119" i="43" s="1"/>
  <c r="F119" i="43" s="1"/>
  <c r="G119" i="43" s="1"/>
  <c r="H119" i="43" s="1"/>
  <c r="G121" i="43"/>
  <c r="H121" i="43" s="1"/>
  <c r="C48" i="69"/>
  <c r="C30" i="69"/>
  <c r="F48" i="69"/>
  <c r="C48" i="68"/>
  <c r="F48" i="68"/>
  <c r="C30" i="68"/>
  <c r="C28" i="15"/>
  <c r="BB5" i="3"/>
  <c r="BA13" i="3"/>
  <c r="D62" i="78"/>
  <c r="C62" i="78" s="1"/>
  <c r="D58" i="78"/>
  <c r="C60" i="71"/>
  <c r="D59" i="71"/>
  <c r="P66" i="71"/>
  <c r="P65" i="71"/>
  <c r="D27" i="71"/>
  <c r="C26" i="71"/>
  <c r="D26" i="71" s="1"/>
  <c r="V16" i="71"/>
  <c r="E15" i="71"/>
  <c r="E14" i="71" s="1"/>
  <c r="E13" i="71" s="1"/>
  <c r="E12" i="71" s="1"/>
  <c r="U33" i="40"/>
  <c r="AB33" i="40"/>
  <c r="AA34" i="36"/>
  <c r="S34" i="36"/>
  <c r="AB24" i="36"/>
  <c r="U24" i="36"/>
  <c r="AA12" i="35"/>
  <c r="S12" i="35"/>
  <c r="AA9" i="36"/>
  <c r="S9" i="36"/>
  <c r="AA46" i="34"/>
  <c r="S46" i="34"/>
  <c r="AC25" i="37"/>
  <c r="W25" i="37"/>
  <c r="U36" i="35"/>
  <c r="AB36" i="35"/>
  <c r="AB9" i="34"/>
  <c r="U9" i="34"/>
  <c r="AC44" i="33"/>
  <c r="W44" i="33"/>
  <c r="D58" i="33"/>
  <c r="E58" i="33" s="1"/>
  <c r="F58" i="33" s="1"/>
  <c r="G58" i="33" s="1"/>
  <c r="H58" i="33" s="1"/>
  <c r="I58" i="33" s="1"/>
  <c r="J58" i="33" s="1"/>
  <c r="K58" i="33" s="1"/>
  <c r="L58" i="33" s="1"/>
  <c r="M58" i="33" s="1"/>
  <c r="N58" i="33" s="1"/>
  <c r="O58" i="33" s="1"/>
  <c r="D67" i="39"/>
  <c r="C69" i="39"/>
  <c r="C36" i="11"/>
  <c r="AQ10" i="1"/>
  <c r="T10" i="1"/>
  <c r="W9" i="35"/>
  <c r="AC9" i="35"/>
  <c r="C28" i="67"/>
  <c r="H37" i="43"/>
  <c r="D1" i="43"/>
  <c r="E19" i="6"/>
  <c r="AZ276" i="3"/>
  <c r="AZ268" i="3"/>
  <c r="AZ260" i="3"/>
  <c r="C44" i="71"/>
  <c r="D43" i="71"/>
  <c r="AC38" i="37"/>
  <c r="W38" i="37"/>
  <c r="W27" i="37"/>
  <c r="AC27" i="37"/>
  <c r="AC12" i="35"/>
  <c r="W12" i="35"/>
  <c r="AC13" i="37"/>
  <c r="W13" i="37"/>
  <c r="AA46" i="33"/>
  <c r="S46" i="33"/>
  <c r="AB25" i="37"/>
  <c r="U25" i="37"/>
  <c r="W29" i="34"/>
  <c r="AC29" i="34"/>
  <c r="AA36" i="35"/>
  <c r="S36" i="35"/>
  <c r="AC9" i="34"/>
  <c r="W9" i="34"/>
  <c r="AA44" i="33"/>
  <c r="S44" i="33"/>
  <c r="AA29" i="33"/>
  <c r="S29" i="33"/>
  <c r="AC29" i="33"/>
  <c r="W29" i="33"/>
  <c r="C40" i="77"/>
  <c r="C77" i="9"/>
  <c r="C74" i="9" s="1"/>
  <c r="C24" i="12"/>
  <c r="C13" i="12"/>
  <c r="C65" i="40"/>
  <c r="D63" i="40"/>
  <c r="G21" i="43"/>
  <c r="C20" i="43" s="1"/>
  <c r="D5" i="43" s="1"/>
  <c r="AQ12" i="1"/>
  <c r="T12" i="1"/>
  <c r="M7" i="1"/>
  <c r="AB9" i="35"/>
  <c r="U9" i="35"/>
  <c r="F7" i="21"/>
  <c r="C28" i="81"/>
  <c r="C30" i="11"/>
  <c r="C48" i="11"/>
  <c r="AQ8" i="1"/>
  <c r="T8" i="1"/>
  <c r="G27" i="6"/>
  <c r="G31" i="6" s="1"/>
  <c r="E31" i="80"/>
  <c r="D31" i="80" s="1"/>
  <c r="E28" i="6"/>
  <c r="C56" i="71"/>
  <c r="D55" i="71"/>
  <c r="T36" i="71"/>
  <c r="D36" i="71"/>
  <c r="C40" i="71"/>
  <c r="D39" i="71"/>
  <c r="C32" i="71"/>
  <c r="D31" i="71"/>
  <c r="AA33" i="40"/>
  <c r="S33" i="40"/>
  <c r="AB31" i="40"/>
  <c r="U31" i="40"/>
  <c r="W12" i="36"/>
  <c r="AC12" i="36"/>
  <c r="C52" i="71"/>
  <c r="D51" i="71"/>
  <c r="D23" i="71"/>
  <c r="C22" i="71"/>
  <c r="C64" i="71"/>
  <c r="D63" i="71"/>
  <c r="S20" i="71"/>
  <c r="B19" i="71"/>
  <c r="B18" i="71" s="1"/>
  <c r="B17" i="71" s="1"/>
  <c r="B16" i="71" s="1"/>
  <c r="AC33" i="40"/>
  <c r="W33" i="40"/>
  <c r="AA31" i="40"/>
  <c r="S31" i="40"/>
  <c r="AB12" i="36"/>
  <c r="U12" i="36"/>
  <c r="AA38" i="37"/>
  <c r="S38" i="37"/>
  <c r="AB34" i="35"/>
  <c r="U34" i="35"/>
  <c r="AA40" i="37"/>
  <c r="S40" i="37"/>
  <c r="AB13" i="37"/>
  <c r="U13" i="37"/>
  <c r="AC46" i="33"/>
  <c r="W46" i="33"/>
  <c r="S29" i="34"/>
  <c r="AA29" i="34"/>
  <c r="AC36" i="35"/>
  <c r="W36" i="35"/>
  <c r="AA26" i="33"/>
  <c r="S26" i="33"/>
  <c r="AA12" i="34"/>
  <c r="S12" i="34"/>
  <c r="AB29" i="33"/>
  <c r="U29" i="33"/>
  <c r="J7" i="36"/>
  <c r="D46" i="36"/>
  <c r="E46" i="36" s="1"/>
  <c r="F46" i="36" s="1"/>
  <c r="G46" i="36" s="1"/>
  <c r="H46" i="36" s="1"/>
  <c r="I46" i="36" s="1"/>
  <c r="J46" i="36" s="1"/>
  <c r="K46" i="36" s="1"/>
  <c r="L46" i="36" s="1"/>
  <c r="M46" i="36" s="1"/>
  <c r="N46" i="36" s="1"/>
  <c r="O46" i="36" s="1"/>
  <c r="H7" i="35"/>
  <c r="D48" i="35"/>
  <c r="E48" i="35" s="1"/>
  <c r="F48" i="35" s="1"/>
  <c r="G48" i="35" s="1"/>
  <c r="H48" i="35" s="1"/>
  <c r="I48" i="35" s="1"/>
  <c r="J48" i="35" s="1"/>
  <c r="K48" i="35" s="1"/>
  <c r="L48" i="35" s="1"/>
  <c r="M48" i="35" s="1"/>
  <c r="N48" i="35" s="1"/>
  <c r="O48" i="35" s="1"/>
  <c r="E583" i="3"/>
  <c r="D116" i="43"/>
  <c r="H110" i="9"/>
  <c r="D18" i="53" s="1"/>
  <c r="B35" i="72" s="1"/>
  <c r="D124" i="9"/>
  <c r="D16" i="53"/>
  <c r="AZ561" i="3"/>
  <c r="AZ553" i="3"/>
  <c r="AZ545" i="3"/>
  <c r="AZ537" i="3"/>
  <c r="H7" i="21"/>
  <c r="E264" i="3"/>
  <c r="E232" i="3"/>
  <c r="AZ272" i="3"/>
  <c r="AZ264" i="3"/>
  <c r="BL5" i="3"/>
  <c r="E13" i="3"/>
  <c r="G5" i="3"/>
  <c r="B3" i="3" s="1"/>
  <c r="E224" i="3" s="1"/>
  <c r="E50" i="43"/>
  <c r="B48" i="43" s="1"/>
  <c r="C28" i="43" s="1"/>
  <c r="Q73" i="15"/>
  <c r="Q60" i="15"/>
  <c r="C4" i="4"/>
  <c r="D11" i="49"/>
  <c r="Q52" i="15"/>
  <c r="F1" i="15"/>
  <c r="Q66" i="15"/>
  <c r="Q57" i="15"/>
  <c r="Q61" i="15"/>
  <c r="Q74" i="15"/>
  <c r="D10" i="49"/>
  <c r="E4" i="4"/>
  <c r="B5" i="62" s="1"/>
  <c r="B73" i="72" s="1"/>
  <c r="F11" i="67"/>
  <c r="M11" i="81"/>
  <c r="J10" i="81" s="1"/>
  <c r="F11" i="81"/>
  <c r="M11" i="67"/>
  <c r="J10" i="67" s="1"/>
  <c r="M11" i="15"/>
  <c r="J10" i="15" s="1"/>
  <c r="F11" i="15"/>
  <c r="C53" i="15" s="1"/>
  <c r="C32" i="81"/>
  <c r="M23" i="67"/>
  <c r="F35" i="67"/>
  <c r="M22" i="67"/>
  <c r="F41" i="67"/>
  <c r="F16" i="67"/>
  <c r="L48" i="67"/>
  <c r="F42" i="67"/>
  <c r="D3" i="73"/>
  <c r="D7" i="73"/>
  <c r="M8" i="67"/>
  <c r="F26" i="67"/>
  <c r="F37" i="67"/>
  <c r="M9" i="67"/>
  <c r="F7" i="67"/>
  <c r="M29" i="67"/>
  <c r="D5" i="73"/>
  <c r="M27" i="67"/>
  <c r="J15" i="67"/>
  <c r="F9" i="67"/>
  <c r="AE6" i="1"/>
  <c r="F43" i="67"/>
  <c r="F40" i="67"/>
  <c r="F8" i="67"/>
  <c r="F6" i="67"/>
  <c r="F36" i="67"/>
  <c r="F38" i="67"/>
  <c r="C16" i="81"/>
  <c r="M24" i="67"/>
  <c r="M6" i="67"/>
  <c r="L47" i="67"/>
  <c r="D4" i="73"/>
  <c r="F13" i="67"/>
  <c r="M21" i="67"/>
  <c r="M26" i="67"/>
  <c r="M28" i="67"/>
  <c r="C76" i="67"/>
  <c r="D6" i="73"/>
  <c r="Q61" i="81" l="1"/>
  <c r="C49" i="81"/>
  <c r="C61" i="81" s="1"/>
  <c r="F7" i="35"/>
  <c r="H7" i="36"/>
  <c r="J7" i="33"/>
  <c r="J7" i="35"/>
  <c r="F7" i="36"/>
  <c r="J7" i="34"/>
  <c r="Q66" i="81"/>
  <c r="J18" i="81"/>
  <c r="Q73" i="81"/>
  <c r="F1" i="81"/>
  <c r="J5" i="81"/>
  <c r="J26" i="81" s="1"/>
  <c r="L59" i="67"/>
  <c r="N59" i="67"/>
  <c r="L58" i="67"/>
  <c r="M59" i="67"/>
  <c r="F66" i="67"/>
  <c r="F71" i="67"/>
  <c r="F69" i="67"/>
  <c r="C6" i="67"/>
  <c r="F50" i="67"/>
  <c r="M7" i="67"/>
  <c r="J6" i="67" s="1"/>
  <c r="J5" i="67" s="1"/>
  <c r="F68" i="67"/>
  <c r="J20" i="67"/>
  <c r="F64" i="67"/>
  <c r="I54" i="67"/>
  <c r="L56" i="67"/>
  <c r="J57" i="67"/>
  <c r="J55" i="67" s="1"/>
  <c r="J58" i="67" s="1"/>
  <c r="Q50" i="67" s="1"/>
  <c r="J53" i="67"/>
  <c r="F51" i="67"/>
  <c r="Q71" i="67"/>
  <c r="F63" i="67"/>
  <c r="C62" i="67" s="1"/>
  <c r="C34" i="67"/>
  <c r="F65" i="67"/>
  <c r="C27" i="67"/>
  <c r="AB7" i="21"/>
  <c r="T48" i="21" s="1"/>
  <c r="G48" i="21" s="1"/>
  <c r="U7" i="21"/>
  <c r="S7" i="35"/>
  <c r="AA7" i="35"/>
  <c r="R38" i="35" s="1"/>
  <c r="U7" i="36"/>
  <c r="AB7" i="36"/>
  <c r="T36" i="36" s="1"/>
  <c r="G36" i="36" s="1"/>
  <c r="T64" i="71"/>
  <c r="D64" i="71"/>
  <c r="T52" i="71"/>
  <c r="D52" i="71"/>
  <c r="K14" i="1"/>
  <c r="M14" i="1" s="1"/>
  <c r="E30" i="6"/>
  <c r="E236" i="3"/>
  <c r="AA7" i="21"/>
  <c r="R48" i="21" s="1"/>
  <c r="S7" i="21"/>
  <c r="E63" i="40"/>
  <c r="D65" i="40"/>
  <c r="E256" i="3"/>
  <c r="E587" i="3"/>
  <c r="E575" i="3"/>
  <c r="W7" i="33"/>
  <c r="AC7" i="33"/>
  <c r="V48" i="33" s="1"/>
  <c r="I48" i="33" s="1"/>
  <c r="E244" i="3"/>
  <c r="AB7" i="37"/>
  <c r="T42" i="37" s="1"/>
  <c r="G42" i="37" s="1"/>
  <c r="U7" i="37"/>
  <c r="AC7" i="34"/>
  <c r="V49" i="34" s="1"/>
  <c r="I49" i="34" s="1"/>
  <c r="W7" i="34"/>
  <c r="C5" i="43"/>
  <c r="T15" i="43" s="1"/>
  <c r="V15" i="43" s="1"/>
  <c r="E248" i="3"/>
  <c r="D17" i="53"/>
  <c r="B36" i="72" s="1"/>
  <c r="B34" i="72"/>
  <c r="E579" i="3"/>
  <c r="W7" i="35"/>
  <c r="AC7" i="35"/>
  <c r="V38" i="35" s="1"/>
  <c r="I38" i="35" s="1"/>
  <c r="AA7" i="36"/>
  <c r="R36" i="36" s="1"/>
  <c r="S7" i="36"/>
  <c r="S16" i="71"/>
  <c r="B15" i="71"/>
  <c r="B14" i="71" s="1"/>
  <c r="B13" i="71" s="1"/>
  <c r="B12" i="71" s="1"/>
  <c r="D22" i="71"/>
  <c r="C21" i="71"/>
  <c r="T32" i="71"/>
  <c r="D32" i="71"/>
  <c r="E252" i="3"/>
  <c r="B2" i="77"/>
  <c r="B3" i="77" s="1"/>
  <c r="C41" i="77"/>
  <c r="E272" i="3"/>
  <c r="H7" i="33"/>
  <c r="BA5" i="3"/>
  <c r="E27" i="6" s="1"/>
  <c r="E31" i="6" s="1"/>
  <c r="AZ13" i="3"/>
  <c r="AZ5" i="3" s="1"/>
  <c r="E260" i="3"/>
  <c r="W7" i="21"/>
  <c r="AC7" i="21"/>
  <c r="V48" i="21" s="1"/>
  <c r="I48" i="21" s="1"/>
  <c r="S7" i="37"/>
  <c r="AA7" i="37"/>
  <c r="R42" i="37" s="1"/>
  <c r="G31" i="80"/>
  <c r="D125" i="9"/>
  <c r="D11" i="52" s="1"/>
  <c r="D10" i="52"/>
  <c r="AB7" i="35"/>
  <c r="T38" i="35" s="1"/>
  <c r="G38" i="35" s="1"/>
  <c r="U7" i="35"/>
  <c r="AC7" i="36"/>
  <c r="V36" i="36" s="1"/>
  <c r="I36" i="36" s="1"/>
  <c r="W7" i="36"/>
  <c r="E268" i="3"/>
  <c r="D69" i="39"/>
  <c r="E67" i="39"/>
  <c r="T60" i="71"/>
  <c r="D60" i="71"/>
  <c r="E13" i="6"/>
  <c r="E10" i="6"/>
  <c r="E11" i="6"/>
  <c r="E12" i="6"/>
  <c r="E14" i="6"/>
  <c r="E15" i="6"/>
  <c r="E8" i="6"/>
  <c r="AC7" i="37"/>
  <c r="V42" i="37" s="1"/>
  <c r="I42" i="37" s="1"/>
  <c r="W7" i="37"/>
  <c r="U7" i="34"/>
  <c r="AB7" i="34"/>
  <c r="T49" i="34" s="1"/>
  <c r="G49" i="34" s="1"/>
  <c r="I3" i="6"/>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9" i="3"/>
  <c r="E421" i="3"/>
  <c r="E413" i="3"/>
  <c r="E405" i="3"/>
  <c r="E397" i="3"/>
  <c r="E389" i="3"/>
  <c r="E382" i="3"/>
  <c r="E366" i="3"/>
  <c r="E350" i="3"/>
  <c r="E334" i="3"/>
  <c r="E318" i="3"/>
  <c r="E302" i="3"/>
  <c r="E286" i="3"/>
  <c r="E258" i="3"/>
  <c r="E254" i="3"/>
  <c r="E250" i="3"/>
  <c r="E246" i="3"/>
  <c r="E243" i="3"/>
  <c r="E242" i="3"/>
  <c r="E239" i="3"/>
  <c r="E238" i="3"/>
  <c r="E235" i="3"/>
  <c r="E234" i="3"/>
  <c r="E231" i="3"/>
  <c r="E230" i="3"/>
  <c r="E227" i="3"/>
  <c r="E226" i="3"/>
  <c r="E223" i="3"/>
  <c r="E222" i="3"/>
  <c r="E219" i="3"/>
  <c r="E218" i="3"/>
  <c r="E155" i="3"/>
  <c r="AR6" i="3"/>
  <c r="AN6" i="3"/>
  <c r="AJ6" i="3"/>
  <c r="AF6" i="3"/>
  <c r="AB6" i="3"/>
  <c r="X6" i="3"/>
  <c r="T6" i="3"/>
  <c r="P6" i="3"/>
  <c r="L6" i="3"/>
  <c r="E574" i="3"/>
  <c r="E428" i="3"/>
  <c r="E420" i="3"/>
  <c r="E412" i="3"/>
  <c r="E404" i="3"/>
  <c r="E396" i="3"/>
  <c r="E388" i="3"/>
  <c r="E386" i="3"/>
  <c r="E370" i="3"/>
  <c r="E354" i="3"/>
  <c r="E338" i="3"/>
  <c r="E322" i="3"/>
  <c r="E306" i="3"/>
  <c r="E290" i="3"/>
  <c r="E571" i="3"/>
  <c r="E374" i="3"/>
  <c r="E358" i="3"/>
  <c r="E342" i="3"/>
  <c r="E326" i="3"/>
  <c r="E310" i="3"/>
  <c r="E294" i="3"/>
  <c r="E215" i="3"/>
  <c r="E207" i="3"/>
  <c r="E199" i="3"/>
  <c r="E191" i="3"/>
  <c r="E183" i="3"/>
  <c r="AP6" i="3"/>
  <c r="AL6" i="3"/>
  <c r="AH6" i="3"/>
  <c r="AD6" i="3"/>
  <c r="AC6" i="3" s="1"/>
  <c r="Z6" i="3"/>
  <c r="V6" i="3"/>
  <c r="R6" i="3"/>
  <c r="N6" i="3"/>
  <c r="J6" i="3"/>
  <c r="E573" i="3"/>
  <c r="E427" i="3"/>
  <c r="E419" i="3"/>
  <c r="E411" i="3"/>
  <c r="E403" i="3"/>
  <c r="E395" i="3"/>
  <c r="E387" i="3"/>
  <c r="E378" i="3"/>
  <c r="E362" i="3"/>
  <c r="E346" i="3"/>
  <c r="E330" i="3"/>
  <c r="E314" i="3"/>
  <c r="E298" i="3"/>
  <c r="E282" i="3"/>
  <c r="S6" i="3"/>
  <c r="AI6" i="3"/>
  <c r="E18" i="3"/>
  <c r="E25" i="3"/>
  <c r="E36" i="3"/>
  <c r="E63" i="3"/>
  <c r="E82" i="3"/>
  <c r="E89" i="3"/>
  <c r="E100" i="3"/>
  <c r="E127" i="3"/>
  <c r="E146" i="3"/>
  <c r="E172" i="3"/>
  <c r="E27" i="3"/>
  <c r="E43" i="3"/>
  <c r="E59" i="3"/>
  <c r="E75" i="3"/>
  <c r="E91" i="3"/>
  <c r="E107" i="3"/>
  <c r="E123" i="3"/>
  <c r="E139" i="3"/>
  <c r="E154" i="3"/>
  <c r="E171" i="3"/>
  <c r="E184" i="3"/>
  <c r="E200" i="3"/>
  <c r="E216" i="3"/>
  <c r="E251" i="3"/>
  <c r="E274" i="3"/>
  <c r="Y6" i="3"/>
  <c r="AS6" i="3"/>
  <c r="E23" i="3"/>
  <c r="E44" i="3"/>
  <c r="E55" i="3"/>
  <c r="E76" i="3"/>
  <c r="E87" i="3"/>
  <c r="E108" i="3"/>
  <c r="E119" i="3"/>
  <c r="E140" i="3"/>
  <c r="E159" i="3"/>
  <c r="E257" i="3"/>
  <c r="E270" i="3"/>
  <c r="E14" i="3"/>
  <c r="E38" i="3"/>
  <c r="E45" i="3"/>
  <c r="E70" i="3"/>
  <c r="E77" i="3"/>
  <c r="E102" i="3"/>
  <c r="E109" i="3"/>
  <c r="E134" i="3"/>
  <c r="E141" i="3"/>
  <c r="E153" i="3"/>
  <c r="E177" i="3"/>
  <c r="E192" i="3"/>
  <c r="E283" i="3"/>
  <c r="E309" i="3"/>
  <c r="E328" i="3"/>
  <c r="E347" i="3"/>
  <c r="E373" i="3"/>
  <c r="E394" i="3"/>
  <c r="E410" i="3"/>
  <c r="E426" i="3"/>
  <c r="E484" i="3"/>
  <c r="E532" i="3"/>
  <c r="E555" i="3"/>
  <c r="E292" i="3"/>
  <c r="E311" i="3"/>
  <c r="E337" i="3"/>
  <c r="E356" i="3"/>
  <c r="E375" i="3"/>
  <c r="E398" i="3"/>
  <c r="E414" i="3"/>
  <c r="E430" i="3"/>
  <c r="E488" i="3"/>
  <c r="E536" i="3"/>
  <c r="E559" i="3"/>
  <c r="E277" i="3"/>
  <c r="E291" i="3"/>
  <c r="E301" i="3"/>
  <c r="E323" i="3"/>
  <c r="E333" i="3"/>
  <c r="E355" i="3"/>
  <c r="E365" i="3"/>
  <c r="E392" i="3"/>
  <c r="E424" i="3"/>
  <c r="E492" i="3"/>
  <c r="E556" i="3"/>
  <c r="E157" i="3"/>
  <c r="E189" i="3"/>
  <c r="E284" i="3"/>
  <c r="E316" i="3"/>
  <c r="E348" i="3"/>
  <c r="E380" i="3"/>
  <c r="E480" i="3"/>
  <c r="E535" i="3"/>
  <c r="E433" i="3"/>
  <c r="E441" i="3"/>
  <c r="E449" i="3"/>
  <c r="E457" i="3"/>
  <c r="E465" i="3"/>
  <c r="E473" i="3"/>
  <c r="E481" i="3"/>
  <c r="E489" i="3"/>
  <c r="E497" i="3"/>
  <c r="E505" i="3"/>
  <c r="E513" i="3"/>
  <c r="E521" i="3"/>
  <c r="E529" i="3"/>
  <c r="E537" i="3"/>
  <c r="E545" i="3"/>
  <c r="E553" i="3"/>
  <c r="E561" i="3"/>
  <c r="E582" i="3"/>
  <c r="W6" i="3"/>
  <c r="AM6" i="3"/>
  <c r="E20" i="3"/>
  <c r="E47" i="3"/>
  <c r="E66" i="3"/>
  <c r="E73" i="3"/>
  <c r="E84" i="3"/>
  <c r="E111" i="3"/>
  <c r="E130" i="3"/>
  <c r="E137" i="3"/>
  <c r="E148" i="3"/>
  <c r="E163" i="3"/>
  <c r="E187" i="3"/>
  <c r="E203" i="3"/>
  <c r="E233" i="3"/>
  <c r="E255" i="3"/>
  <c r="E30" i="3"/>
  <c r="E46" i="3"/>
  <c r="E62" i="3"/>
  <c r="E78" i="3"/>
  <c r="E94" i="3"/>
  <c r="E110" i="3"/>
  <c r="E126" i="3"/>
  <c r="E142" i="3"/>
  <c r="E158" i="3"/>
  <c r="E185" i="3"/>
  <c r="E201" i="3"/>
  <c r="E217" i="3"/>
  <c r="E261" i="3"/>
  <c r="E278" i="3"/>
  <c r="M6" i="3"/>
  <c r="AG6" i="3"/>
  <c r="E26" i="3"/>
  <c r="E33" i="3"/>
  <c r="E58" i="3"/>
  <c r="E65" i="3"/>
  <c r="E90" i="3"/>
  <c r="E97" i="3"/>
  <c r="E122" i="3"/>
  <c r="E129" i="3"/>
  <c r="E166" i="3"/>
  <c r="E179" i="3"/>
  <c r="E195" i="3"/>
  <c r="E211" i="3"/>
  <c r="E241" i="3"/>
  <c r="E273" i="3"/>
  <c r="E19" i="3"/>
  <c r="E40" i="3"/>
  <c r="E51" i="3"/>
  <c r="E72" i="3"/>
  <c r="E83" i="3"/>
  <c r="E104" i="3"/>
  <c r="E115" i="3"/>
  <c r="E136" i="3"/>
  <c r="E147" i="3"/>
  <c r="E167" i="3"/>
  <c r="E186" i="3"/>
  <c r="E193" i="3"/>
  <c r="E208" i="3"/>
  <c r="E237" i="3"/>
  <c r="E259" i="3"/>
  <c r="E275" i="3"/>
  <c r="E293" i="3"/>
  <c r="E312" i="3"/>
  <c r="E331" i="3"/>
  <c r="E357" i="3"/>
  <c r="E376" i="3"/>
  <c r="E401" i="3"/>
  <c r="E417" i="3"/>
  <c r="E436" i="3"/>
  <c r="E500" i="3"/>
  <c r="E539" i="3"/>
  <c r="E295" i="3"/>
  <c r="E321" i="3"/>
  <c r="E340" i="3"/>
  <c r="E359" i="3"/>
  <c r="E385" i="3"/>
  <c r="E399" i="3"/>
  <c r="E415" i="3"/>
  <c r="E440" i="3"/>
  <c r="E504" i="3"/>
  <c r="E543" i="3"/>
  <c r="E304" i="3"/>
  <c r="E336" i="3"/>
  <c r="E368" i="3"/>
  <c r="E400" i="3"/>
  <c r="E444" i="3"/>
  <c r="E508" i="3"/>
  <c r="E540" i="3"/>
  <c r="E563" i="3"/>
  <c r="E165" i="3"/>
  <c r="E197" i="3"/>
  <c r="E287" i="3"/>
  <c r="E297" i="3"/>
  <c r="E319" i="3"/>
  <c r="E329" i="3"/>
  <c r="E351" i="3"/>
  <c r="E361" i="3"/>
  <c r="E383" i="3"/>
  <c r="E432" i="3"/>
  <c r="E496" i="3"/>
  <c r="E560" i="3"/>
  <c r="E434" i="3"/>
  <c r="E442" i="3"/>
  <c r="E450" i="3"/>
  <c r="E458" i="3"/>
  <c r="E466" i="3"/>
  <c r="E474" i="3"/>
  <c r="E482" i="3"/>
  <c r="E490" i="3"/>
  <c r="E498" i="3"/>
  <c r="E506" i="3"/>
  <c r="E514" i="3"/>
  <c r="E522" i="3"/>
  <c r="E530" i="3"/>
  <c r="E538" i="3"/>
  <c r="E546" i="3"/>
  <c r="E554" i="3"/>
  <c r="E562" i="3"/>
  <c r="E568" i="3"/>
  <c r="E586" i="3"/>
  <c r="E578" i="3"/>
  <c r="E584" i="3"/>
  <c r="K6" i="3"/>
  <c r="AA6" i="3"/>
  <c r="AQ6" i="3"/>
  <c r="E31" i="3"/>
  <c r="E50" i="3"/>
  <c r="E57" i="3"/>
  <c r="E68" i="3"/>
  <c r="E95" i="3"/>
  <c r="E114" i="3"/>
  <c r="E121" i="3"/>
  <c r="E132" i="3"/>
  <c r="E175" i="3"/>
  <c r="E262" i="3"/>
  <c r="E271" i="3"/>
  <c r="E16" i="3"/>
  <c r="E32" i="3"/>
  <c r="E48" i="3"/>
  <c r="E64" i="3"/>
  <c r="E80" i="3"/>
  <c r="E96" i="3"/>
  <c r="E112" i="3"/>
  <c r="E128" i="3"/>
  <c r="E144" i="3"/>
  <c r="E160" i="3"/>
  <c r="E178" i="3"/>
  <c r="E194" i="3"/>
  <c r="E210" i="3"/>
  <c r="E229" i="3"/>
  <c r="Q6" i="3"/>
  <c r="AK6" i="3"/>
  <c r="E28" i="3"/>
  <c r="E39" i="3"/>
  <c r="E60" i="3"/>
  <c r="E71" i="3"/>
  <c r="E92" i="3"/>
  <c r="E103" i="3"/>
  <c r="E124" i="3"/>
  <c r="E135" i="3"/>
  <c r="E156" i="3"/>
  <c r="E168" i="3"/>
  <c r="E22" i="3"/>
  <c r="E29" i="3"/>
  <c r="E54" i="3"/>
  <c r="E61" i="3"/>
  <c r="E86" i="3"/>
  <c r="E93" i="3"/>
  <c r="E118" i="3"/>
  <c r="E125" i="3"/>
  <c r="E150" i="3"/>
  <c r="E162" i="3"/>
  <c r="E174" i="3"/>
  <c r="E188" i="3"/>
  <c r="E202" i="3"/>
  <c r="E209" i="3"/>
  <c r="E266" i="3"/>
  <c r="E296" i="3"/>
  <c r="E315" i="3"/>
  <c r="E341" i="3"/>
  <c r="E360" i="3"/>
  <c r="E379" i="3"/>
  <c r="E402" i="3"/>
  <c r="E418" i="3"/>
  <c r="E452" i="3"/>
  <c r="E516" i="3"/>
  <c r="E564" i="3"/>
  <c r="E305" i="3"/>
  <c r="E324" i="3"/>
  <c r="E343" i="3"/>
  <c r="E369" i="3"/>
  <c r="E390" i="3"/>
  <c r="E406" i="3"/>
  <c r="E422" i="3"/>
  <c r="E456" i="3"/>
  <c r="E520" i="3"/>
  <c r="E569" i="3"/>
  <c r="E285" i="3"/>
  <c r="E307" i="3"/>
  <c r="E317" i="3"/>
  <c r="E339" i="3"/>
  <c r="E349" i="3"/>
  <c r="E371" i="3"/>
  <c r="E381" i="3"/>
  <c r="E408" i="3"/>
  <c r="E460" i="3"/>
  <c r="E524" i="3"/>
  <c r="E547" i="3"/>
  <c r="E173" i="3"/>
  <c r="E205" i="3"/>
  <c r="E300" i="3"/>
  <c r="E332" i="3"/>
  <c r="E364" i="3"/>
  <c r="E448" i="3"/>
  <c r="E512" i="3"/>
  <c r="E544" i="3"/>
  <c r="E567" i="3"/>
  <c r="E437" i="3"/>
  <c r="E445" i="3"/>
  <c r="E453" i="3"/>
  <c r="E461" i="3"/>
  <c r="E469" i="3"/>
  <c r="E477" i="3"/>
  <c r="E485" i="3"/>
  <c r="E493" i="3"/>
  <c r="E501" i="3"/>
  <c r="E509" i="3"/>
  <c r="E517" i="3"/>
  <c r="E525" i="3"/>
  <c r="E533" i="3"/>
  <c r="E541" i="3"/>
  <c r="E549" i="3"/>
  <c r="E557" i="3"/>
  <c r="E565" i="3"/>
  <c r="E580" i="3"/>
  <c r="E576" i="3"/>
  <c r="E585" i="3"/>
  <c r="O6" i="3"/>
  <c r="AE6" i="3"/>
  <c r="E15" i="3"/>
  <c r="E34" i="3"/>
  <c r="E41" i="3"/>
  <c r="E52" i="3"/>
  <c r="E79" i="3"/>
  <c r="E98" i="3"/>
  <c r="E105" i="3"/>
  <c r="E116" i="3"/>
  <c r="E143" i="3"/>
  <c r="E151" i="3"/>
  <c r="E170" i="3"/>
  <c r="E182" i="3"/>
  <c r="E198" i="3"/>
  <c r="E214" i="3"/>
  <c r="E249" i="3"/>
  <c r="E265" i="3"/>
  <c r="E21" i="3"/>
  <c r="E37" i="3"/>
  <c r="E53" i="3"/>
  <c r="E69" i="3"/>
  <c r="E85" i="3"/>
  <c r="E101" i="3"/>
  <c r="E117" i="3"/>
  <c r="E133" i="3"/>
  <c r="E149" i="3"/>
  <c r="E161" i="3"/>
  <c r="E180" i="3"/>
  <c r="E196" i="3"/>
  <c r="E212" i="3"/>
  <c r="E245" i="3"/>
  <c r="E267" i="3"/>
  <c r="U6" i="3"/>
  <c r="AO6" i="3"/>
  <c r="E17" i="3"/>
  <c r="E42" i="3"/>
  <c r="E49" i="3"/>
  <c r="E74" i="3"/>
  <c r="E81" i="3"/>
  <c r="E106" i="3"/>
  <c r="E113" i="3"/>
  <c r="E138" i="3"/>
  <c r="E145" i="3"/>
  <c r="E169" i="3"/>
  <c r="E190" i="3"/>
  <c r="E206" i="3"/>
  <c r="E225" i="3"/>
  <c r="E247" i="3"/>
  <c r="E263" i="3"/>
  <c r="E24" i="3"/>
  <c r="E35" i="3"/>
  <c r="E56" i="3"/>
  <c r="E67" i="3"/>
  <c r="E88" i="3"/>
  <c r="E99" i="3"/>
  <c r="E120" i="3"/>
  <c r="E131" i="3"/>
  <c r="E152" i="3"/>
  <c r="E164" i="3"/>
  <c r="E176" i="3"/>
  <c r="E204" i="3"/>
  <c r="E221" i="3"/>
  <c r="E253" i="3"/>
  <c r="E269" i="3"/>
  <c r="E279" i="3"/>
  <c r="I6" i="3"/>
  <c r="E280" i="3"/>
  <c r="E299" i="3"/>
  <c r="E325" i="3"/>
  <c r="E344" i="3"/>
  <c r="E363" i="3"/>
  <c r="E393" i="3"/>
  <c r="E409" i="3"/>
  <c r="E425" i="3"/>
  <c r="E468" i="3"/>
  <c r="E548" i="3"/>
  <c r="E289" i="3"/>
  <c r="E308" i="3"/>
  <c r="E327" i="3"/>
  <c r="E353" i="3"/>
  <c r="E372" i="3"/>
  <c r="E391" i="3"/>
  <c r="E407" i="3"/>
  <c r="E423" i="3"/>
  <c r="E472" i="3"/>
  <c r="E552" i="3"/>
  <c r="E572" i="3"/>
  <c r="E276" i="3"/>
  <c r="E288" i="3"/>
  <c r="E320" i="3"/>
  <c r="E352" i="3"/>
  <c r="E384" i="3"/>
  <c r="E416" i="3"/>
  <c r="E476" i="3"/>
  <c r="E531" i="3"/>
  <c r="E181" i="3"/>
  <c r="E213" i="3"/>
  <c r="E281" i="3"/>
  <c r="E303" i="3"/>
  <c r="E313" i="3"/>
  <c r="E335" i="3"/>
  <c r="E345" i="3"/>
  <c r="E367" i="3"/>
  <c r="E377" i="3"/>
  <c r="E464" i="3"/>
  <c r="E528" i="3"/>
  <c r="E551" i="3"/>
  <c r="E438" i="3"/>
  <c r="E446" i="3"/>
  <c r="E454" i="3"/>
  <c r="E462" i="3"/>
  <c r="E470" i="3"/>
  <c r="E478" i="3"/>
  <c r="E486" i="3"/>
  <c r="E494" i="3"/>
  <c r="E502" i="3"/>
  <c r="E510" i="3"/>
  <c r="E518" i="3"/>
  <c r="E526" i="3"/>
  <c r="E534" i="3"/>
  <c r="E542" i="3"/>
  <c r="E550" i="3"/>
  <c r="E558" i="3"/>
  <c r="E566" i="3"/>
  <c r="E570" i="3"/>
  <c r="E581" i="3"/>
  <c r="E577" i="3"/>
  <c r="T40" i="71"/>
  <c r="D40" i="71"/>
  <c r="T56" i="71"/>
  <c r="D56" i="71"/>
  <c r="E220" i="3"/>
  <c r="T44" i="71"/>
  <c r="D44" i="71"/>
  <c r="K6" i="1"/>
  <c r="E240" i="3"/>
  <c r="F7" i="33"/>
  <c r="V12" i="71"/>
  <c r="E11" i="71"/>
  <c r="E10" i="71" s="1"/>
  <c r="E9" i="71" s="1"/>
  <c r="E8" i="71" s="1"/>
  <c r="E7" i="71" s="1"/>
  <c r="E6" i="71" s="1"/>
  <c r="E5" i="71" s="1"/>
  <c r="E228" i="3"/>
  <c r="F7" i="34"/>
  <c r="C38" i="43"/>
  <c r="C41" i="43"/>
  <c r="C42" i="43"/>
  <c r="T4" i="43"/>
  <c r="V4" i="43" s="1"/>
  <c r="C39" i="43"/>
  <c r="C37" i="43"/>
  <c r="C40" i="43"/>
  <c r="C53" i="67"/>
  <c r="C10" i="67"/>
  <c r="K4" i="4"/>
  <c r="B46" i="48" s="1"/>
  <c r="B4" i="72" s="1"/>
  <c r="B4" i="62"/>
  <c r="B71" i="72" s="1"/>
  <c r="C53" i="81"/>
  <c r="C48" i="81" s="1"/>
  <c r="C10" i="81"/>
  <c r="C5" i="81" s="1"/>
  <c r="AE7" i="1"/>
  <c r="C17" i="67"/>
  <c r="M29" i="15"/>
  <c r="C16" i="67"/>
  <c r="F7" i="15"/>
  <c r="C14" i="67"/>
  <c r="F41" i="81"/>
  <c r="F43" i="15"/>
  <c r="F41" i="15"/>
  <c r="G1" i="73"/>
  <c r="T8" i="43" l="1"/>
  <c r="V8" i="43" s="1"/>
  <c r="T12" i="43"/>
  <c r="V12" i="43" s="1"/>
  <c r="T11" i="43"/>
  <c r="V11" i="43" s="1"/>
  <c r="T5" i="43"/>
  <c r="V5" i="43" s="1"/>
  <c r="T14" i="43"/>
  <c r="V14" i="43" s="1"/>
  <c r="T3" i="43"/>
  <c r="V3" i="43" s="1"/>
  <c r="T6" i="43"/>
  <c r="V6" i="43" s="1"/>
  <c r="T2" i="43"/>
  <c r="V2" i="43" s="1"/>
  <c r="C34" i="43" s="1"/>
  <c r="T13" i="43"/>
  <c r="V13" i="43" s="1"/>
  <c r="T10" i="43"/>
  <c r="V10" i="43" s="1"/>
  <c r="T16" i="43"/>
  <c r="V16" i="43" s="1"/>
  <c r="C33" i="43"/>
  <c r="E33" i="43" s="1"/>
  <c r="T9" i="43"/>
  <c r="V9" i="43" s="1"/>
  <c r="T7" i="43"/>
  <c r="V7" i="43" s="1"/>
  <c r="J24" i="81"/>
  <c r="J24" i="67"/>
  <c r="J26" i="67"/>
  <c r="J29" i="67" s="1"/>
  <c r="B40" i="1"/>
  <c r="F25" i="12" s="1"/>
  <c r="C26" i="12" s="1"/>
  <c r="D25" i="12" s="1"/>
  <c r="C49" i="67"/>
  <c r="C61" i="67" s="1"/>
  <c r="C5" i="67"/>
  <c r="C38" i="67" s="1"/>
  <c r="C15" i="67"/>
  <c r="C18" i="67"/>
  <c r="F71" i="15"/>
  <c r="C6" i="15"/>
  <c r="F50" i="15"/>
  <c r="C49" i="15" s="1"/>
  <c r="M7" i="15"/>
  <c r="J6" i="15" s="1"/>
  <c r="I46" i="37"/>
  <c r="J46" i="37" s="1"/>
  <c r="E61" i="39"/>
  <c r="E57" i="40"/>
  <c r="G42" i="35"/>
  <c r="H42" i="35" s="1"/>
  <c r="G43" i="35"/>
  <c r="H43" i="35" s="1"/>
  <c r="R43" i="37"/>
  <c r="E42" i="37"/>
  <c r="I47" i="37" s="1"/>
  <c r="J47" i="37" s="1"/>
  <c r="D21" i="71"/>
  <c r="C20" i="71"/>
  <c r="K22" i="6"/>
  <c r="M22" i="6" s="1"/>
  <c r="I22" i="6" s="1"/>
  <c r="S22" i="6" s="1"/>
  <c r="G53" i="21"/>
  <c r="H53" i="21" s="1"/>
  <c r="G52" i="21"/>
  <c r="H52" i="21" s="1"/>
  <c r="Q52" i="67"/>
  <c r="F1" i="67"/>
  <c r="K16" i="1"/>
  <c r="B29" i="1" s="1"/>
  <c r="C8" i="68" s="1"/>
  <c r="C34" i="69"/>
  <c r="Q16" i="1"/>
  <c r="M6" i="1"/>
  <c r="H16" i="1"/>
  <c r="G16" i="1"/>
  <c r="G53" i="34"/>
  <c r="H53" i="34" s="1"/>
  <c r="G54" i="34"/>
  <c r="H54" i="34" s="1"/>
  <c r="E56" i="39"/>
  <c r="E51" i="40"/>
  <c r="F27" i="6"/>
  <c r="F31" i="6" s="1"/>
  <c r="E16" i="6"/>
  <c r="E60" i="39"/>
  <c r="E56" i="40"/>
  <c r="E3" i="6"/>
  <c r="AY6" i="3"/>
  <c r="R37" i="36"/>
  <c r="E36" i="36"/>
  <c r="I41" i="36" s="1"/>
  <c r="J41" i="36" s="1"/>
  <c r="G46" i="37"/>
  <c r="H46" i="37" s="1"/>
  <c r="G47" i="37"/>
  <c r="H47" i="37" s="1"/>
  <c r="E65" i="40"/>
  <c r="F63" i="40"/>
  <c r="K19" i="6"/>
  <c r="K24" i="6"/>
  <c r="M24" i="6" s="1"/>
  <c r="I24" i="6" s="1"/>
  <c r="S24" i="6" s="1"/>
  <c r="R39" i="35"/>
  <c r="E38" i="35"/>
  <c r="I43" i="35" s="1"/>
  <c r="J43" i="35" s="1"/>
  <c r="C33" i="67"/>
  <c r="C32" i="67"/>
  <c r="Q60" i="67"/>
  <c r="Q73" i="67"/>
  <c r="E60" i="40"/>
  <c r="E64" i="39"/>
  <c r="E69" i="39"/>
  <c r="F67" i="39"/>
  <c r="I40" i="36"/>
  <c r="J40" i="36" s="1"/>
  <c r="I52" i="21"/>
  <c r="J52" i="21" s="1"/>
  <c r="S12" i="71"/>
  <c r="B11" i="71"/>
  <c r="B10" i="71" s="1"/>
  <c r="B9" i="71" s="1"/>
  <c r="B8" i="71" s="1"/>
  <c r="B7" i="71" s="1"/>
  <c r="B6" i="71" s="1"/>
  <c r="B5" i="71" s="1"/>
  <c r="I42" i="35"/>
  <c r="J42" i="35" s="1"/>
  <c r="K21" i="6"/>
  <c r="M21" i="6" s="1"/>
  <c r="I21" i="6" s="1"/>
  <c r="S21" i="6" s="1"/>
  <c r="K23" i="6"/>
  <c r="M23" i="6" s="1"/>
  <c r="I23" i="6" s="1"/>
  <c r="S23" i="6" s="1"/>
  <c r="K26" i="6"/>
  <c r="M26" i="6" s="1"/>
  <c r="I26" i="6" s="1"/>
  <c r="S26" i="6" s="1"/>
  <c r="AA7" i="34"/>
  <c r="R49" i="34" s="1"/>
  <c r="S7" i="34"/>
  <c r="S7" i="33"/>
  <c r="AA7" i="33"/>
  <c r="R48" i="33" s="1"/>
  <c r="H6" i="3"/>
  <c r="E6" i="3" s="1"/>
  <c r="E59" i="40"/>
  <c r="E63" i="39"/>
  <c r="E62" i="39"/>
  <c r="E58" i="40"/>
  <c r="AB7" i="33"/>
  <c r="T48" i="33" s="1"/>
  <c r="G48" i="33" s="1"/>
  <c r="U7" i="33"/>
  <c r="I53" i="34"/>
  <c r="J53" i="34" s="1"/>
  <c r="I52" i="33"/>
  <c r="J52" i="33" s="1"/>
  <c r="R49" i="21"/>
  <c r="E48" i="21"/>
  <c r="I53" i="21" s="1"/>
  <c r="J53" i="21" s="1"/>
  <c r="K25" i="6"/>
  <c r="M25" i="6" s="1"/>
  <c r="I25" i="6" s="1"/>
  <c r="S25" i="6" s="1"/>
  <c r="K20" i="6"/>
  <c r="G40" i="36"/>
  <c r="H40" i="36" s="1"/>
  <c r="G41" i="36"/>
  <c r="H41" i="36" s="1"/>
  <c r="J18" i="67"/>
  <c r="J19" i="67"/>
  <c r="Q61" i="67"/>
  <c r="Q74" i="67"/>
  <c r="F69" i="15"/>
  <c r="F69" i="81"/>
  <c r="J29" i="81"/>
  <c r="E37" i="43"/>
  <c r="G37" i="43"/>
  <c r="I37" i="43" s="1"/>
  <c r="G42" i="43"/>
  <c r="I42" i="43" s="1"/>
  <c r="E42" i="43"/>
  <c r="G39" i="43"/>
  <c r="I39" i="43" s="1"/>
  <c r="E39" i="43"/>
  <c r="E40" i="43"/>
  <c r="G40" i="43"/>
  <c r="I40" i="43" s="1"/>
  <c r="E38" i="43"/>
  <c r="G38" i="43"/>
  <c r="I38" i="43" s="1"/>
  <c r="E41" i="43"/>
  <c r="G41" i="43"/>
  <c r="I41" i="43" s="1"/>
  <c r="C60" i="81"/>
  <c r="C66" i="81"/>
  <c r="C38" i="81"/>
  <c r="C16" i="15"/>
  <c r="E34" i="43" l="1"/>
  <c r="F22" i="11"/>
  <c r="F24" i="15"/>
  <c r="C24" i="15" s="1"/>
  <c r="F22" i="68"/>
  <c r="C44" i="68" s="1"/>
  <c r="D41" i="68" s="1"/>
  <c r="L36" i="43"/>
  <c r="Q36" i="43" s="1"/>
  <c r="C23" i="11"/>
  <c r="C48" i="67"/>
  <c r="C66" i="67" s="1"/>
  <c r="F24" i="67"/>
  <c r="C24" i="67" s="1"/>
  <c r="F24" i="81"/>
  <c r="C24" i="81" s="1"/>
  <c r="F22" i="69"/>
  <c r="J17" i="67"/>
  <c r="C19" i="67"/>
  <c r="C20" i="67" s="1"/>
  <c r="C31" i="67"/>
  <c r="E65" i="39"/>
  <c r="C38" i="69"/>
  <c r="C35" i="69"/>
  <c r="C43" i="37"/>
  <c r="C42" i="37"/>
  <c r="J18" i="15"/>
  <c r="J19" i="15"/>
  <c r="J5" i="15"/>
  <c r="C49" i="21"/>
  <c r="C48" i="21"/>
  <c r="R49" i="33"/>
  <c r="E48" i="33"/>
  <c r="M20" i="6"/>
  <c r="I20" i="6" s="1"/>
  <c r="S20" i="6" s="1"/>
  <c r="S7" i="1"/>
  <c r="F69" i="39"/>
  <c r="G67" i="39"/>
  <c r="K27" i="6"/>
  <c r="M19" i="6"/>
  <c r="S6" i="1"/>
  <c r="D3" i="6"/>
  <c r="AY585" i="3"/>
  <c r="AY581" i="3"/>
  <c r="AY577" i="3"/>
  <c r="AY584" i="3"/>
  <c r="AY576" i="3"/>
  <c r="AY573" i="3"/>
  <c r="AY569" i="3"/>
  <c r="AY580" i="3"/>
  <c r="AY568"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586" i="3"/>
  <c r="AY583" i="3"/>
  <c r="AY578" i="3"/>
  <c r="AY575" i="3"/>
  <c r="AY571"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7" i="3"/>
  <c r="AY429" i="3"/>
  <c r="AY428" i="3"/>
  <c r="AY421" i="3"/>
  <c r="AY420" i="3"/>
  <c r="AY413" i="3"/>
  <c r="AY412" i="3"/>
  <c r="AY405" i="3"/>
  <c r="AY404" i="3"/>
  <c r="AY397" i="3"/>
  <c r="AY396" i="3"/>
  <c r="AY389" i="3"/>
  <c r="AY388"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574"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30" i="3"/>
  <c r="AY422" i="3"/>
  <c r="AY414" i="3"/>
  <c r="AY406" i="3"/>
  <c r="AY398" i="3"/>
  <c r="AY390"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82" i="3"/>
  <c r="AY572" i="3"/>
  <c r="AY425" i="3"/>
  <c r="AY424" i="3"/>
  <c r="AY417" i="3"/>
  <c r="AY416" i="3"/>
  <c r="AY409" i="3"/>
  <c r="AY408" i="3"/>
  <c r="AY401" i="3"/>
  <c r="AY400" i="3"/>
  <c r="AY393"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560" i="3"/>
  <c r="AY544" i="3"/>
  <c r="AY528" i="3"/>
  <c r="AY512" i="3"/>
  <c r="AY496" i="3"/>
  <c r="AY480" i="3"/>
  <c r="AY464" i="3"/>
  <c r="AY448" i="3"/>
  <c r="AY432" i="3"/>
  <c r="AY383" i="3"/>
  <c r="AY367" i="3"/>
  <c r="AY351" i="3"/>
  <c r="AY335" i="3"/>
  <c r="AY319" i="3"/>
  <c r="AY303" i="3"/>
  <c r="AY287" i="3"/>
  <c r="AY276" i="3"/>
  <c r="AY272" i="3"/>
  <c r="AY268" i="3"/>
  <c r="AY264" i="3"/>
  <c r="AY260" i="3"/>
  <c r="AY256" i="3"/>
  <c r="AY252" i="3"/>
  <c r="AY248" i="3"/>
  <c r="AY244" i="3"/>
  <c r="AY240" i="3"/>
  <c r="AY236" i="3"/>
  <c r="AY232" i="3"/>
  <c r="AY228" i="3"/>
  <c r="AY224" i="3"/>
  <c r="AY220" i="3"/>
  <c r="AY217" i="3"/>
  <c r="AY209" i="3"/>
  <c r="AY201" i="3"/>
  <c r="AY193" i="3"/>
  <c r="AY185" i="3"/>
  <c r="AY177" i="3"/>
  <c r="AY169" i="3"/>
  <c r="AY161"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556" i="3"/>
  <c r="AY540" i="3"/>
  <c r="AY524" i="3"/>
  <c r="AY508" i="3"/>
  <c r="AY492" i="3"/>
  <c r="AY476" i="3"/>
  <c r="AY460" i="3"/>
  <c r="AY444" i="3"/>
  <c r="AY371" i="3"/>
  <c r="AY355" i="3"/>
  <c r="AY339" i="3"/>
  <c r="AY323" i="3"/>
  <c r="AY307" i="3"/>
  <c r="AY291" i="3"/>
  <c r="AY212" i="3"/>
  <c r="AY211" i="3"/>
  <c r="AY204" i="3"/>
  <c r="AY203" i="3"/>
  <c r="AY196" i="3"/>
  <c r="AY195" i="3"/>
  <c r="AY188" i="3"/>
  <c r="AY187" i="3"/>
  <c r="AY180" i="3"/>
  <c r="AY179" i="3"/>
  <c r="AY172" i="3"/>
  <c r="AY171" i="3"/>
  <c r="AY164" i="3"/>
  <c r="AY163" i="3"/>
  <c r="AY156" i="3"/>
  <c r="AY155"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552" i="3"/>
  <c r="AY536" i="3"/>
  <c r="AY520" i="3"/>
  <c r="AY504" i="3"/>
  <c r="AY488" i="3"/>
  <c r="AY472" i="3"/>
  <c r="AY456" i="3"/>
  <c r="AY440" i="3"/>
  <c r="AY375" i="3"/>
  <c r="AY359" i="3"/>
  <c r="AY343" i="3"/>
  <c r="AY327" i="3"/>
  <c r="AY311" i="3"/>
  <c r="AY295" i="3"/>
  <c r="AY279" i="3"/>
  <c r="AY275" i="3"/>
  <c r="AY271" i="3"/>
  <c r="AY267" i="3"/>
  <c r="AY263" i="3"/>
  <c r="AY259" i="3"/>
  <c r="AY255" i="3"/>
  <c r="AY251" i="3"/>
  <c r="AY247" i="3"/>
  <c r="AY243" i="3"/>
  <c r="AY239" i="3"/>
  <c r="AY235" i="3"/>
  <c r="AY231" i="3"/>
  <c r="AY227" i="3"/>
  <c r="AY223" i="3"/>
  <c r="AY219" i="3"/>
  <c r="AY213" i="3"/>
  <c r="AY205" i="3"/>
  <c r="AY197" i="3"/>
  <c r="AY189" i="3"/>
  <c r="AY181" i="3"/>
  <c r="AY173" i="3"/>
  <c r="AY165" i="3"/>
  <c r="AY157"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579" i="3"/>
  <c r="AY564" i="3"/>
  <c r="AY548" i="3"/>
  <c r="AY532" i="3"/>
  <c r="AY516" i="3"/>
  <c r="AY500" i="3"/>
  <c r="AY484" i="3"/>
  <c r="AY468" i="3"/>
  <c r="AY452" i="3"/>
  <c r="AY436" i="3"/>
  <c r="AY426" i="3"/>
  <c r="AY418" i="3"/>
  <c r="AY410" i="3"/>
  <c r="AY402" i="3"/>
  <c r="AY394" i="3"/>
  <c r="AY379" i="3"/>
  <c r="AY363" i="3"/>
  <c r="AY347" i="3"/>
  <c r="AY331" i="3"/>
  <c r="AY315" i="3"/>
  <c r="AY299" i="3"/>
  <c r="AY283" i="3"/>
  <c r="AY216" i="3"/>
  <c r="AY215" i="3"/>
  <c r="AY208" i="3"/>
  <c r="AY207" i="3"/>
  <c r="AY200" i="3"/>
  <c r="AY199" i="3"/>
  <c r="AY192" i="3"/>
  <c r="AY191" i="3"/>
  <c r="AY184" i="3"/>
  <c r="AY183" i="3"/>
  <c r="AY176" i="3"/>
  <c r="AY175" i="3"/>
  <c r="AY168" i="3"/>
  <c r="AY167" i="3"/>
  <c r="AY160" i="3"/>
  <c r="AY159" i="3"/>
  <c r="AY152" i="3"/>
  <c r="AY151"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R6" i="3"/>
  <c r="BN6" i="3"/>
  <c r="BJ6" i="3"/>
  <c r="BF6" i="3"/>
  <c r="BB6" i="3"/>
  <c r="T20" i="71"/>
  <c r="D20" i="71"/>
  <c r="U20" i="71" s="1"/>
  <c r="C19" i="71"/>
  <c r="C61" i="15"/>
  <c r="C48" i="15"/>
  <c r="G52" i="33"/>
  <c r="H52" i="33" s="1"/>
  <c r="G53" i="33"/>
  <c r="H53" i="33" s="1"/>
  <c r="E43" i="35"/>
  <c r="F43" i="35" s="1"/>
  <c r="E42" i="35"/>
  <c r="F42" i="35" s="1"/>
  <c r="G63" i="40"/>
  <c r="F65" i="40"/>
  <c r="E41" i="36"/>
  <c r="F41" i="36" s="1"/>
  <c r="E40" i="36"/>
  <c r="F40" i="36" s="1"/>
  <c r="D19" i="11"/>
  <c r="C19" i="11" s="1"/>
  <c r="D37" i="11"/>
  <c r="C37" i="11" s="1"/>
  <c r="D3" i="34"/>
  <c r="B3" i="34" s="1"/>
  <c r="D3" i="37"/>
  <c r="B3" i="37" s="1"/>
  <c r="D3" i="21"/>
  <c r="B3" i="21" s="1"/>
  <c r="D14" i="12"/>
  <c r="E6" i="6"/>
  <c r="D3" i="33"/>
  <c r="B3" i="33" s="1"/>
  <c r="M18" i="9"/>
  <c r="B118" i="9" s="1"/>
  <c r="B14" i="74" s="1"/>
  <c r="B1" i="74" s="1"/>
  <c r="L18" i="9"/>
  <c r="C17" i="4"/>
  <c r="B4" i="52" s="1"/>
  <c r="B43" i="72" s="1"/>
  <c r="M16" i="1"/>
  <c r="N16" i="1" s="1"/>
  <c r="C32" i="15"/>
  <c r="C33" i="15"/>
  <c r="C10" i="15"/>
  <c r="C5" i="15" s="1"/>
  <c r="C38" i="15" s="1"/>
  <c r="E53" i="21"/>
  <c r="F53" i="21" s="1"/>
  <c r="E52" i="21"/>
  <c r="F52" i="21" s="1"/>
  <c r="R50" i="34"/>
  <c r="E49" i="34"/>
  <c r="C38" i="35"/>
  <c r="C39" i="35"/>
  <c r="M3" i="35" s="1"/>
  <c r="C36" i="36"/>
  <c r="C37" i="36"/>
  <c r="H10" i="40"/>
  <c r="F10" i="39"/>
  <c r="J10" i="40"/>
  <c r="J10" i="39"/>
  <c r="F10" i="40"/>
  <c r="H10" i="39"/>
  <c r="F27" i="11"/>
  <c r="F27" i="69"/>
  <c r="F27" i="68"/>
  <c r="F28" i="12"/>
  <c r="C29" i="12" s="1"/>
  <c r="D28" i="12" s="1"/>
  <c r="E46" i="37"/>
  <c r="F46" i="37" s="1"/>
  <c r="E47" i="37"/>
  <c r="F47" i="37" s="1"/>
  <c r="C31" i="43"/>
  <c r="C30" i="43"/>
  <c r="E6" i="76"/>
  <c r="C17" i="81"/>
  <c r="C17" i="15"/>
  <c r="C23" i="67" l="1"/>
  <c r="C60" i="67"/>
  <c r="C59" i="67" s="1"/>
  <c r="N36" i="43"/>
  <c r="L37" i="43"/>
  <c r="O37" i="43" s="1"/>
  <c r="F41" i="68"/>
  <c r="C26" i="68"/>
  <c r="D22" i="68" s="1"/>
  <c r="M36" i="43"/>
  <c r="O36" i="43"/>
  <c r="P36" i="43"/>
  <c r="C26" i="11"/>
  <c r="D22" i="11" s="1"/>
  <c r="C44" i="11"/>
  <c r="D41" i="11" s="1"/>
  <c r="C26" i="67"/>
  <c r="C29" i="67" s="1"/>
  <c r="J59" i="67" s="1"/>
  <c r="J60" i="67" s="1"/>
  <c r="L46" i="67" s="1"/>
  <c r="F41" i="69"/>
  <c r="C44" i="69"/>
  <c r="D41" i="69" s="1"/>
  <c r="C26" i="69"/>
  <c r="D22" i="69" s="1"/>
  <c r="C47" i="69"/>
  <c r="D45" i="69" s="1"/>
  <c r="F45" i="69"/>
  <c r="C29" i="69"/>
  <c r="D27" i="69" s="1"/>
  <c r="AC10" i="39"/>
  <c r="W10" i="39"/>
  <c r="C50" i="34"/>
  <c r="C49" i="34"/>
  <c r="G65" i="40"/>
  <c r="H63" i="40"/>
  <c r="T6" i="1"/>
  <c r="S16" i="1"/>
  <c r="AR6" i="1"/>
  <c r="AQ6" i="1"/>
  <c r="E6" i="70"/>
  <c r="C49" i="33"/>
  <c r="C48" i="33"/>
  <c r="F45" i="68"/>
  <c r="C29" i="68"/>
  <c r="D27" i="68" s="1"/>
  <c r="C47" i="68"/>
  <c r="D45" i="68" s="1"/>
  <c r="S10" i="40"/>
  <c r="AA10" i="40"/>
  <c r="AB10" i="40"/>
  <c r="U10" i="40"/>
  <c r="C29" i="11"/>
  <c r="D27" i="11" s="1"/>
  <c r="C47" i="11"/>
  <c r="D45" i="11" s="1"/>
  <c r="W10" i="40"/>
  <c r="AC10" i="40"/>
  <c r="D19" i="71"/>
  <c r="C18" i="71"/>
  <c r="I19" i="6"/>
  <c r="H19" i="6" s="1"/>
  <c r="H27" i="6" s="1"/>
  <c r="M27" i="6"/>
  <c r="T7" i="1"/>
  <c r="AR7" i="1"/>
  <c r="AQ7" i="1"/>
  <c r="E7" i="70"/>
  <c r="C20" i="11"/>
  <c r="C25" i="11" s="1"/>
  <c r="C24" i="11"/>
  <c r="AB10" i="39"/>
  <c r="U10" i="39"/>
  <c r="AA10" i="39"/>
  <c r="S10" i="39"/>
  <c r="L16" i="1"/>
  <c r="C34" i="68"/>
  <c r="C34" i="11"/>
  <c r="D10" i="11"/>
  <c r="C10" i="11" s="1"/>
  <c r="D10" i="68"/>
  <c r="D20" i="12"/>
  <c r="C20" i="12" s="1"/>
  <c r="C18" i="12" s="1"/>
  <c r="D10" i="69"/>
  <c r="E54" i="34"/>
  <c r="F54" i="34" s="1"/>
  <c r="E53" i="34"/>
  <c r="F53" i="34" s="1"/>
  <c r="I54" i="34"/>
  <c r="J54" i="34" s="1"/>
  <c r="F50" i="69"/>
  <c r="F50" i="68"/>
  <c r="F50" i="11"/>
  <c r="D17" i="12"/>
  <c r="C17" i="12" s="1"/>
  <c r="C14" i="12"/>
  <c r="C16" i="12" s="1"/>
  <c r="C66" i="15"/>
  <c r="C60" i="15"/>
  <c r="E61" i="40"/>
  <c r="M19" i="9"/>
  <c r="C118" i="9" s="1"/>
  <c r="D29" i="6"/>
  <c r="D28" i="6"/>
  <c r="D26" i="6"/>
  <c r="R26" i="6" s="1"/>
  <c r="H25" i="6"/>
  <c r="D24" i="6"/>
  <c r="H23" i="6"/>
  <c r="D22" i="6"/>
  <c r="H21" i="6"/>
  <c r="D9" i="6"/>
  <c r="D5" i="6"/>
  <c r="D25" i="6"/>
  <c r="H20" i="6"/>
  <c r="D19" i="6"/>
  <c r="D12" i="6"/>
  <c r="H24" i="6"/>
  <c r="D21" i="6"/>
  <c r="R21" i="6" s="1"/>
  <c r="D20" i="6"/>
  <c r="D13" i="6"/>
  <c r="L19" i="9"/>
  <c r="H22" i="6"/>
  <c r="D14" i="6"/>
  <c r="D8" i="6"/>
  <c r="D23" i="6"/>
  <c r="R23" i="6" s="1"/>
  <c r="D6" i="6"/>
  <c r="H26" i="6"/>
  <c r="D15" i="6"/>
  <c r="D11" i="6"/>
  <c r="D10" i="6"/>
  <c r="C18" i="4"/>
  <c r="G69" i="39"/>
  <c r="H67" i="39"/>
  <c r="E52" i="33"/>
  <c r="F52" i="33" s="1"/>
  <c r="E53" i="33"/>
  <c r="F53" i="33" s="1"/>
  <c r="I53" i="33"/>
  <c r="J53" i="33" s="1"/>
  <c r="J24" i="15"/>
  <c r="J26" i="15"/>
  <c r="J29" i="15" s="1"/>
  <c r="E2" i="76"/>
  <c r="B2" i="43"/>
  <c r="C14" i="81"/>
  <c r="C14" i="15"/>
  <c r="B6" i="76"/>
  <c r="M37" i="43" l="1"/>
  <c r="Q37" i="43"/>
  <c r="P37" i="43"/>
  <c r="N37" i="43"/>
  <c r="J14" i="67"/>
  <c r="J22" i="67" s="1"/>
  <c r="C13" i="67"/>
  <c r="Q70" i="67" s="1"/>
  <c r="Q49" i="67"/>
  <c r="C57" i="67"/>
  <c r="C64" i="67" s="1"/>
  <c r="C36" i="67"/>
  <c r="C21" i="12"/>
  <c r="C22" i="12" s="1"/>
  <c r="C30" i="12" s="1"/>
  <c r="C28" i="12" s="1"/>
  <c r="C15" i="81"/>
  <c r="C18" i="81"/>
  <c r="C15" i="15"/>
  <c r="C18" i="15"/>
  <c r="C10" i="69"/>
  <c r="C8" i="69" s="1"/>
  <c r="C5" i="69" s="1"/>
  <c r="D19" i="69"/>
  <c r="Q48" i="67"/>
  <c r="A7" i="51"/>
  <c r="B7" i="72" s="1"/>
  <c r="C4" i="52"/>
  <c r="B45" i="72" s="1"/>
  <c r="A10" i="51"/>
  <c r="B9" i="72" s="1"/>
  <c r="D16" i="6"/>
  <c r="R25" i="6"/>
  <c r="R22" i="6"/>
  <c r="C35" i="68"/>
  <c r="C38" i="68"/>
  <c r="C28" i="11"/>
  <c r="C27" i="11" s="1"/>
  <c r="D18" i="71"/>
  <c r="C17" i="71"/>
  <c r="D30" i="6"/>
  <c r="C10" i="68"/>
  <c r="D19" i="68"/>
  <c r="E2" i="70"/>
  <c r="T16" i="1"/>
  <c r="H69" i="39"/>
  <c r="I67" i="39"/>
  <c r="R20" i="6"/>
  <c r="R7" i="1" s="1"/>
  <c r="R19" i="6"/>
  <c r="D27" i="6"/>
  <c r="D31" i="6" s="1"/>
  <c r="R24" i="6"/>
  <c r="C22" i="11"/>
  <c r="H65" i="40"/>
  <c r="I63" i="40"/>
  <c r="C38" i="11"/>
  <c r="C35" i="11"/>
  <c r="C33" i="11" s="1"/>
  <c r="I27" i="6"/>
  <c r="S19" i="6"/>
  <c r="S27" i="6" s="1"/>
  <c r="C56" i="67"/>
  <c r="C65" i="67" s="1"/>
  <c r="C75" i="67"/>
  <c r="B2" i="76"/>
  <c r="B3" i="76" s="1"/>
  <c r="C6" i="68"/>
  <c r="C7" i="68" s="1"/>
  <c r="C5" i="68" s="1"/>
  <c r="B3" i="43"/>
  <c r="F35" i="81"/>
  <c r="M21" i="81"/>
  <c r="C58" i="67" l="1"/>
  <c r="C67" i="67" s="1"/>
  <c r="C68" i="67" s="1"/>
  <c r="C71" i="67" s="1"/>
  <c r="J13" i="67"/>
  <c r="J23" i="67" s="1"/>
  <c r="J16" i="67" s="1"/>
  <c r="J25" i="67" s="1"/>
  <c r="C37" i="67"/>
  <c r="C30" i="67" s="1"/>
  <c r="C39" i="67" s="1"/>
  <c r="C40" i="67" s="1"/>
  <c r="Q47" i="67" s="1"/>
  <c r="Q53" i="67" s="1"/>
  <c r="C19" i="81"/>
  <c r="C20" i="81" s="1"/>
  <c r="C26" i="81" s="1"/>
  <c r="C27" i="12"/>
  <c r="C25" i="12" s="1"/>
  <c r="C32" i="12" s="1"/>
  <c r="B2" i="12" s="1"/>
  <c r="B3" i="12" s="1"/>
  <c r="C19" i="15"/>
  <c r="C20" i="15" s="1"/>
  <c r="C26" i="15" s="1"/>
  <c r="F63" i="81"/>
  <c r="C62" i="81" s="1"/>
  <c r="C59" i="81" s="1"/>
  <c r="C34" i="81"/>
  <c r="C31" i="81" s="1"/>
  <c r="J20" i="81"/>
  <c r="J17" i="81" s="1"/>
  <c r="C39" i="11"/>
  <c r="C43" i="11" s="1"/>
  <c r="C42" i="11"/>
  <c r="J63" i="40"/>
  <c r="I65" i="40"/>
  <c r="I5" i="6"/>
  <c r="I6" i="6"/>
  <c r="C23" i="69"/>
  <c r="C31" i="11"/>
  <c r="R6" i="1"/>
  <c r="R27" i="6"/>
  <c r="J67" i="39"/>
  <c r="I69" i="39"/>
  <c r="D37" i="68"/>
  <c r="C37" i="68" s="1"/>
  <c r="C33" i="68" s="1"/>
  <c r="C19" i="68"/>
  <c r="C24" i="68" s="1"/>
  <c r="D17" i="71"/>
  <c r="C16" i="71"/>
  <c r="C19" i="69"/>
  <c r="C24" i="69" s="1"/>
  <c r="D37" i="69"/>
  <c r="C37" i="69" s="1"/>
  <c r="C33" i="69" s="1"/>
  <c r="C23" i="68"/>
  <c r="M21" i="15"/>
  <c r="F35" i="15"/>
  <c r="D2" i="67" l="1"/>
  <c r="B2" i="67" s="1"/>
  <c r="C83" i="67"/>
  <c r="C82" i="67" s="1"/>
  <c r="C43" i="67"/>
  <c r="C45" i="67"/>
  <c r="C46" i="67" s="1"/>
  <c r="Q65" i="67"/>
  <c r="Q56" i="67"/>
  <c r="Q69" i="67"/>
  <c r="Q68" i="67" s="1"/>
  <c r="C80" i="67"/>
  <c r="C79" i="67" s="1"/>
  <c r="C46" i="11"/>
  <c r="C45" i="11" s="1"/>
  <c r="C41" i="11"/>
  <c r="C20" i="68"/>
  <c r="C25" i="68" s="1"/>
  <c r="C22" i="68" s="1"/>
  <c r="C23" i="81"/>
  <c r="C29" i="81" s="1"/>
  <c r="Q49" i="81" s="1"/>
  <c r="J20" i="15"/>
  <c r="J17" i="15" s="1"/>
  <c r="F63" i="15"/>
  <c r="C62" i="15" s="1"/>
  <c r="C59" i="15" s="1"/>
  <c r="C34" i="15"/>
  <c r="C31" i="15" s="1"/>
  <c r="C39" i="68"/>
  <c r="C43" i="68" s="1"/>
  <c r="C42" i="68"/>
  <c r="R16" i="1"/>
  <c r="T16" i="71"/>
  <c r="D16" i="71"/>
  <c r="U16" i="71" s="1"/>
  <c r="C15" i="71"/>
  <c r="M23" i="43"/>
  <c r="C20" i="69"/>
  <c r="J65" i="40"/>
  <c r="K63" i="40"/>
  <c r="J69" i="39"/>
  <c r="K67" i="39"/>
  <c r="C39" i="69"/>
  <c r="C42" i="69"/>
  <c r="C23" i="15"/>
  <c r="C29" i="15" s="1"/>
  <c r="C28" i="68"/>
  <c r="C27" i="68" s="1"/>
  <c r="B3" i="67"/>
  <c r="L51" i="67"/>
  <c r="Q67" i="67" l="1"/>
  <c r="L57" i="67"/>
  <c r="L60" i="67" s="1"/>
  <c r="Q66" i="67" s="1"/>
  <c r="Q75" i="67" s="1"/>
  <c r="C49" i="11"/>
  <c r="C51" i="11" s="1"/>
  <c r="C52" i="11" s="1"/>
  <c r="B2" i="11" s="1"/>
  <c r="B3" i="11" s="1"/>
  <c r="J14" i="81"/>
  <c r="J22" i="81" s="1"/>
  <c r="C13" i="81"/>
  <c r="C75" i="81" s="1"/>
  <c r="J59" i="81"/>
  <c r="J60" i="81" s="1"/>
  <c r="Q48" i="81" s="1"/>
  <c r="C36" i="81"/>
  <c r="C57" i="81"/>
  <c r="C64" i="81" s="1"/>
  <c r="C46" i="69"/>
  <c r="C45" i="69" s="1"/>
  <c r="C43" i="69"/>
  <c r="C41" i="69" s="1"/>
  <c r="L67" i="39"/>
  <c r="K69" i="39"/>
  <c r="C28" i="69"/>
  <c r="C27" i="69" s="1"/>
  <c r="C25" i="69"/>
  <c r="C22" i="69" s="1"/>
  <c r="C41" i="68"/>
  <c r="J14" i="15"/>
  <c r="J59" i="15"/>
  <c r="J60" i="15" s="1"/>
  <c r="C57" i="15"/>
  <c r="C64" i="15" s="1"/>
  <c r="C36" i="15"/>
  <c r="Q49" i="15"/>
  <c r="C13" i="15"/>
  <c r="K65" i="40"/>
  <c r="L63" i="40"/>
  <c r="D15" i="71"/>
  <c r="C14" i="71"/>
  <c r="C46" i="68"/>
  <c r="C45" i="68" s="1"/>
  <c r="C31" i="68"/>
  <c r="Q57" i="67" l="1"/>
  <c r="Q62" i="67" s="1"/>
  <c r="J13" i="81"/>
  <c r="J23" i="81" s="1"/>
  <c r="J16" i="81" s="1"/>
  <c r="J25" i="81" s="1"/>
  <c r="C56" i="81"/>
  <c r="C65" i="81" s="1"/>
  <c r="C58" i="81" s="1"/>
  <c r="C67" i="81" s="1"/>
  <c r="C68" i="81" s="1"/>
  <c r="C71" i="81" s="1"/>
  <c r="C37" i="81"/>
  <c r="C30" i="81" s="1"/>
  <c r="C39" i="81" s="1"/>
  <c r="Q69" i="81" s="1"/>
  <c r="Q70" i="81"/>
  <c r="L46" i="81"/>
  <c r="C31" i="69"/>
  <c r="C49" i="69"/>
  <c r="C51" i="69" s="1"/>
  <c r="C56" i="11"/>
  <c r="C57" i="11" s="1"/>
  <c r="C49" i="68"/>
  <c r="C51" i="68" s="1"/>
  <c r="C52" i="68" s="1"/>
  <c r="Q70" i="15"/>
  <c r="C75" i="15"/>
  <c r="C37" i="15"/>
  <c r="C30" i="15" s="1"/>
  <c r="C39" i="15" s="1"/>
  <c r="C56" i="15"/>
  <c r="C65" i="15" s="1"/>
  <c r="C58" i="15" s="1"/>
  <c r="C67" i="15" s="1"/>
  <c r="C68" i="15" s="1"/>
  <c r="L69" i="39"/>
  <c r="M67" i="39"/>
  <c r="M63" i="40"/>
  <c r="L65" i="40"/>
  <c r="Q48" i="15"/>
  <c r="L46" i="15"/>
  <c r="D14" i="71"/>
  <c r="C13" i="71"/>
  <c r="J22" i="15"/>
  <c r="J13" i="15"/>
  <c r="J23" i="15" s="1"/>
  <c r="L51" i="81"/>
  <c r="Q68" i="81" l="1"/>
  <c r="C40" i="81"/>
  <c r="Q65" i="81" s="1"/>
  <c r="Q75" i="81" s="1"/>
  <c r="C80" i="81"/>
  <c r="C79" i="81" s="1"/>
  <c r="C52" i="69"/>
  <c r="B2" i="69" s="1"/>
  <c r="B3" i="69" s="1"/>
  <c r="B2" i="68"/>
  <c r="C57" i="68"/>
  <c r="C56" i="68" s="1"/>
  <c r="J16" i="15"/>
  <c r="J25" i="15" s="1"/>
  <c r="Q67" i="81"/>
  <c r="C40" i="15"/>
  <c r="C46" i="15" s="1"/>
  <c r="Q69" i="15"/>
  <c r="Q68" i="15" s="1"/>
  <c r="C80" i="15"/>
  <c r="C79" i="15" s="1"/>
  <c r="D13" i="71"/>
  <c r="C12" i="71"/>
  <c r="M69" i="39"/>
  <c r="N67" i="39"/>
  <c r="Q56" i="81"/>
  <c r="Q62" i="81" s="1"/>
  <c r="M65" i="40"/>
  <c r="N63" i="40"/>
  <c r="C71" i="15"/>
  <c r="L51" i="15"/>
  <c r="C19" i="9"/>
  <c r="Q47" i="81" l="1"/>
  <c r="Q53" i="81" s="1"/>
  <c r="C46" i="81"/>
  <c r="C83" i="81"/>
  <c r="C82" i="81" s="1"/>
  <c r="B2" i="81"/>
  <c r="B3" i="81" s="1"/>
  <c r="C43" i="81"/>
  <c r="C57" i="69"/>
  <c r="C56" i="69" s="1"/>
  <c r="C21" i="9"/>
  <c r="C102" i="9"/>
  <c r="B3" i="68"/>
  <c r="Q67" i="15"/>
  <c r="T12" i="71"/>
  <c r="D12" i="71"/>
  <c r="U12" i="71" s="1"/>
  <c r="C11" i="71"/>
  <c r="Q47" i="15"/>
  <c r="Q53" i="15" s="1"/>
  <c r="Q56" i="15"/>
  <c r="Q62" i="15" s="1"/>
  <c r="Q65" i="15"/>
  <c r="Q75" i="15" s="1"/>
  <c r="B2" i="15"/>
  <c r="C43" i="15"/>
  <c r="C83" i="15"/>
  <c r="C82" i="15" s="1"/>
  <c r="O63" i="40"/>
  <c r="O65" i="40" s="1"/>
  <c r="N65" i="40"/>
  <c r="N69" i="39"/>
  <c r="O67" i="39"/>
  <c r="O69" i="39" s="1"/>
  <c r="AO6" i="1"/>
  <c r="D34" i="9"/>
  <c r="AO7" i="1"/>
  <c r="C20" i="9"/>
  <c r="D35" i="9"/>
  <c r="B7" i="70" l="1"/>
  <c r="C103" i="9"/>
  <c r="B6" i="70"/>
  <c r="B3" i="15"/>
  <c r="H7" i="39"/>
  <c r="F7" i="39"/>
  <c r="J7" i="39"/>
  <c r="F7" i="40"/>
  <c r="H7" i="40"/>
  <c r="J7" i="40"/>
  <c r="D11" i="71"/>
  <c r="C10" i="71"/>
  <c r="B2" i="70" l="1"/>
  <c r="B3" i="70" s="1"/>
  <c r="U7" i="40"/>
  <c r="AB7" i="40"/>
  <c r="T42" i="40" s="1"/>
  <c r="G42" i="40" s="1"/>
  <c r="AB7" i="39"/>
  <c r="T47" i="39" s="1"/>
  <c r="G47" i="39" s="1"/>
  <c r="U7" i="39"/>
  <c r="D10" i="71"/>
  <c r="C9" i="71"/>
  <c r="AA7" i="40"/>
  <c r="R42" i="40" s="1"/>
  <c r="S7" i="40"/>
  <c r="W7" i="39"/>
  <c r="AC7" i="39"/>
  <c r="V47" i="39" s="1"/>
  <c r="I47" i="39" s="1"/>
  <c r="AC7" i="40"/>
  <c r="V42" i="40" s="1"/>
  <c r="I42" i="40" s="1"/>
  <c r="W7" i="40"/>
  <c r="S7" i="39"/>
  <c r="AA7" i="39"/>
  <c r="R47" i="39" s="1"/>
  <c r="D19" i="9"/>
  <c r="D20" i="9"/>
  <c r="D22" i="9" l="1"/>
  <c r="G19" i="9"/>
  <c r="F37" i="6" s="1"/>
  <c r="G37" i="6" s="1"/>
  <c r="D21" i="9"/>
  <c r="D102" i="9"/>
  <c r="D103" i="9"/>
  <c r="G20" i="9"/>
  <c r="I46" i="40"/>
  <c r="J46" i="40" s="1"/>
  <c r="R48" i="39"/>
  <c r="E47" i="39"/>
  <c r="I52" i="39"/>
  <c r="J52" i="39" s="1"/>
  <c r="I51" i="39"/>
  <c r="J51" i="39" s="1"/>
  <c r="R43" i="40"/>
  <c r="E42" i="40"/>
  <c r="I47" i="40" s="1"/>
  <c r="J47" i="40" s="1"/>
  <c r="G51" i="39"/>
  <c r="H51" i="39" s="1"/>
  <c r="G52" i="39"/>
  <c r="H52" i="39" s="1"/>
  <c r="D9" i="71"/>
  <c r="C8" i="71"/>
  <c r="G46" i="40"/>
  <c r="H46" i="40" s="1"/>
  <c r="G47" i="40"/>
  <c r="H47" i="40" s="1"/>
  <c r="G21" i="9" l="1"/>
  <c r="C32" i="9"/>
  <c r="H118" i="9" s="1"/>
  <c r="E47" i="40"/>
  <c r="F47" i="40" s="1"/>
  <c r="E46" i="40"/>
  <c r="F46" i="40" s="1"/>
  <c r="E52" i="39"/>
  <c r="F52" i="39" s="1"/>
  <c r="E51" i="39"/>
  <c r="F51" i="39" s="1"/>
  <c r="D8" i="71"/>
  <c r="C7" i="71"/>
  <c r="C43" i="40"/>
  <c r="C42" i="40"/>
  <c r="C48" i="39"/>
  <c r="C47" i="39"/>
  <c r="C35" i="9" l="1"/>
  <c r="F118" i="9" s="1"/>
  <c r="C34" i="9"/>
  <c r="D118" i="9" s="1"/>
  <c r="D119" i="9" s="1"/>
  <c r="D5" i="52" s="1"/>
  <c r="B49" i="72" s="1"/>
  <c r="B63" i="39"/>
  <c r="F63" i="39" s="1"/>
  <c r="B61" i="39"/>
  <c r="F61" i="39" s="1"/>
  <c r="B58" i="39"/>
  <c r="F58" i="39" s="1"/>
  <c r="B56" i="39"/>
  <c r="F56" i="39" s="1"/>
  <c r="F65" i="39" s="1"/>
  <c r="B2" i="39" s="1"/>
  <c r="B3" i="39" s="1"/>
  <c r="B64" i="39"/>
  <c r="F64" i="39" s="1"/>
  <c r="B62" i="39"/>
  <c r="F62" i="39" s="1"/>
  <c r="B60" i="39"/>
  <c r="F60" i="39" s="1"/>
  <c r="B59" i="39"/>
  <c r="F59" i="39" s="1"/>
  <c r="B57" i="39"/>
  <c r="F57" i="39" s="1"/>
  <c r="D4" i="52"/>
  <c r="B47" i="72" s="1"/>
  <c r="G118" i="9"/>
  <c r="G4" i="52" s="1"/>
  <c r="B52" i="72" s="1"/>
  <c r="F4" i="52"/>
  <c r="B51" i="72" s="1"/>
  <c r="F119" i="9"/>
  <c r="F5" i="52" s="1"/>
  <c r="B53" i="72" s="1"/>
  <c r="B52" i="40"/>
  <c r="F52" i="40" s="1"/>
  <c r="F61" i="40"/>
  <c r="B2" i="40" s="1"/>
  <c r="B3" i="40" s="1"/>
  <c r="B53" i="40"/>
  <c r="F53" i="40" s="1"/>
  <c r="B59" i="40"/>
  <c r="F59" i="40" s="1"/>
  <c r="B58" i="40"/>
  <c r="F58" i="40" s="1"/>
  <c r="B51" i="40"/>
  <c r="F51" i="40" s="1"/>
  <c r="B60" i="40"/>
  <c r="F60" i="40" s="1"/>
  <c r="B57" i="40"/>
  <c r="F57" i="40" s="1"/>
  <c r="B56" i="40"/>
  <c r="F56" i="40" s="1"/>
  <c r="B54" i="40"/>
  <c r="F54" i="40" s="1"/>
  <c r="D7" i="71"/>
  <c r="C6" i="71"/>
  <c r="C104" i="9"/>
  <c r="H119" i="9"/>
  <c r="H5" i="52" s="1"/>
  <c r="D14" i="74"/>
  <c r="I118" i="9"/>
  <c r="H101" i="9"/>
  <c r="H4" i="52"/>
  <c r="H102" i="9" l="1"/>
  <c r="D7" i="53" s="1"/>
  <c r="B21" i="72" s="1"/>
  <c r="I4" i="52"/>
  <c r="C105" i="9"/>
  <c r="E118" i="9"/>
  <c r="E4" i="52" s="1"/>
  <c r="B48" i="72" s="1"/>
  <c r="D6" i="71"/>
  <c r="C5" i="71"/>
  <c r="H107" i="9"/>
  <c r="M48" i="9"/>
  <c r="P48" i="9" s="1"/>
  <c r="D45" i="9"/>
  <c r="D5" i="53"/>
  <c r="F14" i="74"/>
  <c r="E14" i="74"/>
  <c r="G14" i="74"/>
  <c r="D122" i="9" l="1"/>
  <c r="M49" i="9"/>
  <c r="D13" i="53"/>
  <c r="H108" i="9"/>
  <c r="D15" i="53" s="1"/>
  <c r="B31" i="72" s="1"/>
  <c r="D6" i="53"/>
  <c r="B22" i="72" s="1"/>
  <c r="B20" i="72"/>
  <c r="D5" i="71"/>
  <c r="M24" i="43"/>
  <c r="P54" i="9"/>
  <c r="C85" i="9"/>
  <c r="C64" i="9"/>
  <c r="C63" i="9" s="1"/>
  <c r="C67" i="9" s="1"/>
  <c r="C68" i="9" s="1"/>
  <c r="D54" i="9" s="1"/>
  <c r="D55" i="9"/>
  <c r="M53" i="9" s="1"/>
  <c r="P53" i="9" s="1"/>
  <c r="D53" i="9"/>
  <c r="D48" i="9" s="1"/>
  <c r="M52" i="9" s="1"/>
  <c r="P52" i="9" s="1"/>
  <c r="C78" i="9"/>
  <c r="C73" i="9" s="1"/>
  <c r="C93" i="9"/>
  <c r="C86" i="9" s="1"/>
  <c r="C72" i="9"/>
  <c r="D52" i="9"/>
  <c r="C79" i="9" l="1"/>
  <c r="C80" i="9" s="1"/>
  <c r="E80" i="9" s="1"/>
  <c r="E81" i="9" s="1"/>
  <c r="C95" i="9"/>
  <c r="B30" i="72"/>
  <c r="D14" i="53"/>
  <c r="B32" i="72" s="1"/>
  <c r="P57" i="9"/>
  <c r="L67" i="9"/>
  <c r="M67" i="9" s="1"/>
  <c r="L68" i="9"/>
  <c r="M68" i="9" s="1"/>
  <c r="L65" i="9"/>
  <c r="M65" i="9" s="1"/>
  <c r="L66" i="9"/>
  <c r="M66" i="9" s="1"/>
  <c r="L63" i="9"/>
  <c r="M63" i="9" s="1"/>
  <c r="L64" i="9"/>
  <c r="M64" i="9" s="1"/>
  <c r="D123" i="9"/>
  <c r="D9" i="52" s="1"/>
  <c r="D8" i="52"/>
  <c r="C81" i="9" l="1"/>
  <c r="M69" i="9"/>
  <c r="N69" i="9" s="1"/>
  <c r="C96" i="9"/>
  <c r="E96" i="9" s="1"/>
  <c r="E97" i="9" s="1"/>
  <c r="P58" i="9"/>
  <c r="P59" i="9"/>
  <c r="P61" i="9" s="1"/>
  <c r="G15" i="74"/>
  <c r="E15" i="74"/>
  <c r="F15" i="74"/>
  <c r="B5" i="74"/>
  <c r="E5" i="74" s="1"/>
  <c r="C97" i="9" l="1"/>
  <c r="D58" i="9" s="1"/>
  <c r="D56" i="9" s="1"/>
  <c r="M54" i="9" s="1"/>
  <c r="N57" i="9" s="1"/>
  <c r="N58" i="9" s="1"/>
  <c r="P60" i="9"/>
  <c r="D5" i="74"/>
  <c r="C5" i="74"/>
  <c r="B7" i="74"/>
  <c r="B6" i="74"/>
  <c r="N59" i="9" l="1"/>
  <c r="H111" i="9" s="1"/>
  <c r="D6" i="74"/>
  <c r="C6" i="74"/>
  <c r="C7" i="74"/>
  <c r="D7" i="74"/>
  <c r="N61" i="9" l="1"/>
  <c r="H112" i="9" s="1"/>
  <c r="D21" i="53" s="1"/>
  <c r="B39" i="72" s="1"/>
  <c r="N60" i="9"/>
  <c r="D126" i="9"/>
  <c r="D19" i="53"/>
  <c r="B8" i="74"/>
  <c r="E8" i="74" s="1"/>
  <c r="B38" i="72" l="1"/>
  <c r="D20" i="53"/>
  <c r="B40" i="72" s="1"/>
  <c r="D127" i="9"/>
  <c r="D13" i="52" s="1"/>
  <c r="D12" i="52"/>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<sst xmlns="http://schemas.openxmlformats.org/spreadsheetml/2006/main" count="8332" uniqueCount="3483">
  <si>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</si>
  <si>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</si>
  <si>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</si>
  <si>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</si>
  <si>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</si>
  <si>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</si>
  <si>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</si>
  <si>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</si>
  <si>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</si>
  <si>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</si>
  <si>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</si>
  <si>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</si>
  <si>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</si>
  <si>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</si>
  <si>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</si>
  <si>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</si>
  <si>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</si>
  <si>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</si>
  <si>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</si>
  <si>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</si>
  <si>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</si>
  <si>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</si>
  <si>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</si>
  <si>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</si>
  <si>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</si>
  <si>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</si>
  <si>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</si>
  <si>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</si>
  <si>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</si>
  <si>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</si>
  <si>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</si>
  <si>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</si>
  <si>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</si>
  <si>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</si>
  <si>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</si>
  <si>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</si>
  <si>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</si>
  <si>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</si>
  <si>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</si>
  <si>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</si>
  <si>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</si>
  <si>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</si>
  <si>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</si>
  <si>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</si>
  <si>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</si>
  <si>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</si>
  <si>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</si>
  <si>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</si>
  <si>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</si>
  <si>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</si>
  <si>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</si>
  <si>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</si>
  <si>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</si>
  <si>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</si>
  <si>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</si>
  <si>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</si>
  <si>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</si>
  <si>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</si>
  <si>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</si>
  <si>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</si>
  <si>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</si>
  <si>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</si>
  <si>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</si>
  <si>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</si>
  <si>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</si>
  <si>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</si>
  <si>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</si>
  <si>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</si>
  <si>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</si>
  <si>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</si>
  <si>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</si>
  <si>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</si>
  <si>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</si>
  <si>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</si>
  <si>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</si>
  <si>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</si>
  <si>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</si>
  <si>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</si>
  <si>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</si>
  <si>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</si>
  <si>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</si>
  <si>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</si>
  <si>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</si>
  <si>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</si>
  <si>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</si>
  <si>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</si>
  <si>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</si>
  <si>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</si>
  <si>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</si>
  <si>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</si>
  <si>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</si>
  <si>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</si>
  <si>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</si>
  <si>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</si>
  <si>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</si>
  <si>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</si>
  <si>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</si>
  <si>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</si>
  <si>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</si>
  <si>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</si>
  <si>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</si>
  <si>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</si>
  <si>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</si>
  <si>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</si>
  <si>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</si>
  <si>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</si>
  <si>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</si>
  <si>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</si>
  <si>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</si>
  <si>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</si>
  <si>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</si>
  <si>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</si>
  <si>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</si>
  <si>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</si>
  <si>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</si>
  <si>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</si>
  <si>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</si>
  <si>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</si>
  <si>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</si>
  <si>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</si>
  <si>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</si>
  <si>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</si>
  <si>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</si>
  <si>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</si>
  <si>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</si>
  <si>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</si>
  <si>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</si>
  <si>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</si>
  <si>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</si>
  <si>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</si>
  <si>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</si>
  <si>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</si>
  <si>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</si>
  <si>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</si>
  <si>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</si>
  <si>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</si>
  <si>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</si>
  <si>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</si>
  <si>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</si>
  <si>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</si>
  <si>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</si>
  <si>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</si>
  <si>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</si>
  <si>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</si>
  <si>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</si>
  <si>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</si>
  <si>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</si>
  <si>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</si>
  <si>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</si>
  <si>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</si>
  <si>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</si>
  <si>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</si>
  <si>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</si>
  <si>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</si>
  <si>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</si>
  <si>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</si>
  <si>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</si>
  <si>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</si>
  <si>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</si>
  <si>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</si>
  <si>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</si>
  <si>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</si>
  <si>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</si>
  <si>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</si>
  <si>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</si>
  <si>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</si>
  <si>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</si>
  <si>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</si>
  <si>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</si>
  <si>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</si>
  <si>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</si>
  <si>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</si>
  <si>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</si>
  <si>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</si>
  <si>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</si>
  <si>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</si>
  <si>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</si>
  <si>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</si>
  <si>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</si>
  <si>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</si>
  <si>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</si>
  <si>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</si>
  <si>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</si>
  <si>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</si>
  <si>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</si>
  <si>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</si>
  <si>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</si>
  <si>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</si>
  <si>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</si>
  <si>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</si>
  <si>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</si>
  <si>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</si>
  <si>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</si>
  <si>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</si>
  <si>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</si>
  <si>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</si>
  <si>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</si>
  <si>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</si>
  <si>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</si>
  <si>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</si>
  <si>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</si>
  <si>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</si>
  <si>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</si>
  <si>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</si>
  <si>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</si>
  <si>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</si>
  <si>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</si>
  <si>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</si>
  <si>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</si>
  <si>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</si>
  <si>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</si>
  <si>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</si>
  <si>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</si>
  <si>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</si>
  <si>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</si>
  <si>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</si>
  <si>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</si>
  <si>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</si>
  <si>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</si>
  <si>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</si>
  <si>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</si>
  <si>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</si>
  <si>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</si>
  <si>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</si>
  <si>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</si>
  <si>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</si>
  <si>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</si>
  <si>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</si>
  <si>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</si>
  <si>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</si>
  <si>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</si>
  <si>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</si>
  <si>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</si>
  <si>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</si>
  <si>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</si>
  <si>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</si>
  <si>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</si>
  <si>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</si>
  <si>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</si>
  <si>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</si>
  <si>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</si>
  <si>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</si>
  <si>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</si>
  <si>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</si>
  <si>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</si>
  <si>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</si>
  <si>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</si>
  <si>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</si>
  <si>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</si>
  <si>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</si>
  <si>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</si>
  <si>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</si>
  <si>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</si>
  <si>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</si>
  <si>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</si>
  <si>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</si>
  <si>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</si>
  <si>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</si>
  <si>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</si>
  <si>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</si>
  <si>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</si>
  <si>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</si>
  <si>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</si>
  <si>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</si>
  <si>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</si>
  <si>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</si>
  <si>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</si>
  <si>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</si>
  <si>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</si>
  <si>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</si>
  <si>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</si>
  <si>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</si>
  <si>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</si>
  <si>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</si>
  <si>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</si>
  <si>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</si>
  <si>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</si>
  <si>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</si>
  <si>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</si>
  <si>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</si>
  <si>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</si>
  <si>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</si>
  <si>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</si>
  <si>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</si>
  <si>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</si>
  <si>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</si>
  <si>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</si>
  <si>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</si>
  <si>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</si>
  <si>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</si>
  <si>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</si>
  <si>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</si>
  <si>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</si>
  <si>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</si>
  <si>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</si>
  <si>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</si>
  <si>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</si>
  <si>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</si>
  <si>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</si>
  <si>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</si>
  <si>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</si>
  <si>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</si>
  <si>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</si>
  <si>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</si>
  <si>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</si>
  <si>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</si>
  <si>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</si>
  <si>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</si>
  <si>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</si>
  <si>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</si>
  <si>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</si>
  <si>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</si>
  <si>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</si>
  <si>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</si>
  <si>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</si>
  <si>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</si>
  <si>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</si>
  <si>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</si>
  <si>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</si>
  <si>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</si>
  <si>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</si>
  <si>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</si>
  <si>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</si>
  <si>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</si>
  <si>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</si>
  <si>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</si>
  <si>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</si>
  <si>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</si>
  <si>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</si>
  <si>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</si>
  <si>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</si>
  <si>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</si>
  <si>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</si>
  <si>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</si>
  <si>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</si>
  <si>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</si>
  <si>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</si>
  <si>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</si>
  <si>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</si>
  <si>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</si>
  <si>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</si>
  <si>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</si>
  <si>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</si>
  <si>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</si>
  <si>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</si>
  <si>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</si>
  <si>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</si>
  <si>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</si>
  <si>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</si>
  <si>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</si>
  <si>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</si>
  <si>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</si>
  <si>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</si>
  <si>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</si>
  <si>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</si>
  <si>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</si>
  <si>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</si>
  <si>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</si>
  <si>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</si>
  <si>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</si>
  <si>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</si>
  <si>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</si>
  <si>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</si>
  <si>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</si>
  <si>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</si>
  <si>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</si>
  <si>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</si>
  <si>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</si>
  <si>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</si>
  <si>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</si>
  <si>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</si>
  <si>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</si>
  <si>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</si>
  <si>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</si>
  <si>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</si>
  <si>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</si>
  <si>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</si>
  <si>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</si>
  <si>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</si>
  <si>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</si>
  <si>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</si>
  <si>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</si>
  <si>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</si>
  <si>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</si>
  <si>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</si>
  <si>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</si>
  <si>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</si>
  <si>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</si>
  <si>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</si>
  <si>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</si>
  <si>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</si>
  <si>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</si>
  <si>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</si>
  <si>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</si>
  <si>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</si>
  <si>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</si>
  <si>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</si>
  <si>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</si>
  <si>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</si>
  <si>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</si>
  <si>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</si>
  <si>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</si>
  <si>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</si>
  <si>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</si>
  <si>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</si>
  <si>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</si>
  <si>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</si>
  <si>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</si>
  <si>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</si>
  <si>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</si>
  <si>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</si>
  <si>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</si>
  <si>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</si>
  <si>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</si>
  <si>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</si>
  <si>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</si>
  <si>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</si>
  <si>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</si>
  <si>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</si>
  <si>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</si>
  <si>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</si>
  <si>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</si>
  <si>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</si>
  <si>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</si>
  <si>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</si>
  <si>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</si>
  <si>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</si>
  <si>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</si>
  <si>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</si>
  <si>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</si>
  <si>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</si>
  <si>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</si>
  <si>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</si>
  <si>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</si>
  <si>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</si>
  <si>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</si>
  <si>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</si>
  <si>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</si>
  <si>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</si>
  <si>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</si>
  <si>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</si>
  <si>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</si>
  <si>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</si>
  <si>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</si>
  <si>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</si>
  <si>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</si>
  <si>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</si>
  <si>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</si>
  <si>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</si>
  <si>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</si>
  <si>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</si>
  <si>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</si>
  <si>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</si>
  <si>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</si>
  <si>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</si>
  <si>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</si>
  <si>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</si>
  <si>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</si>
  <si>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</si>
  <si>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</si>
  <si>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</si>
  <si>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</si>
  <si>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</si>
  <si>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</si>
  <si>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</si>
  <si>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</si>
  <si>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</si>
  <si>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</si>
  <si>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</si>
  <si>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</si>
  <si>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</si>
  <si>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</si>
  <si>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</si>
  <si>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</si>
  <si>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</si>
  <si>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</si>
  <si>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</si>
  <si>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</si>
  <si>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</si>
  <si>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</si>
  <si>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</si>
  <si>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</si>
  <si>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</si>
  <si>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</si>
  <si>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</si>
  <si>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</si>
  <si>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</si>
  <si>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</si>
  <si>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</si>
  <si>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</si>
  <si>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</si>
  <si>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</si>
  <si>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</si>
  <si>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</si>
  <si>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</si>
  <si>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</si>
  <si>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</si>
  <si>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</si>
  <si>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</si>
  <si>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</si>
  <si>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</si>
  <si>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</si>
  <si>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</si>
  <si>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</si>
  <si>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</si>
  <si>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</si>
  <si>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</si>
  <si>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</si>
  <si>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</si>
  <si>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</si>
  <si>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</si>
  <si>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</si>
  <si>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</si>
  <si>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</si>
  <si>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</si>
  <si>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</si>
  <si>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</si>
  <si>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</si>
  <si>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</si>
  <si>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</si>
  <si>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</si>
  <si>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</si>
  <si>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</si>
  <si>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</si>
  <si>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</si>
  <si>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</si>
  <si>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</si>
  <si>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</si>
  <si>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</si>
  <si>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</si>
  <si>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</si>
  <si>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</si>
  <si>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</si>
  <si>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</si>
  <si>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</si>
  <si>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</si>
  <si>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</si>
  <si>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</si>
  <si>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</si>
  <si>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</si>
  <si>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</si>
  <si>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</si>
  <si>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</si>
  <si>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</si>
  <si>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</si>
  <si>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</si>
  <si>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</si>
  <si>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</si>
  <si>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</si>
  <si>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</si>
  <si>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</si>
  <si>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</si>
  <si>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</si>
  <si>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</si>
  <si>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</si>
  <si>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</si>
  <si>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</si>
  <si>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</si>
  <si>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</si>
  <si>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</si>
  <si>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</si>
  <si>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</si>
  <si>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</si>
  <si>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</si>
  <si>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</si>
  <si>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</si>
  <si>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</si>
  <si>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</si>
  <si>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</si>
  <si>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</si>
  <si>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</si>
  <si>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</si>
  <si>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</si>
  <si>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</si>
  <si>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</si>
  <si>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</si>
  <si>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</si>
  <si>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</si>
  <si>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</si>
  <si>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</si>
  <si>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</si>
  <si>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</si>
  <si>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</si>
  <si>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</si>
  <si>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</si>
  <si>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</si>
  <si>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</si>
  <si>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</si>
  <si>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</si>
  <si>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</si>
  <si>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</si>
  <si>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</si>
  <si>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</si>
  <si>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</si>
  <si>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</si>
  <si>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</si>
  <si>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</si>
  <si>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</si>
  <si>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</si>
  <si>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</si>
  <si>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</si>
  <si>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</si>
  <si>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</si>
  <si>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</si>
  <si>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</si>
  <si>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</si>
  <si>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</si>
  <si>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</si>
  <si>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</si>
  <si>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</si>
  <si>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</si>
  <si>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</si>
  <si>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</si>
  <si>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</si>
  <si>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</si>
  <si>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</si>
  <si>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</si>
  <si>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</si>
  <si>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</si>
  <si>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</si>
  <si>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</si>
  <si>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</si>
  <si>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</si>
  <si>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</si>
  <si>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</si>
  <si>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</si>
  <si>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</si>
  <si>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</si>
  <si>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</si>
  <si>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</si>
  <si>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</si>
  <si>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</si>
  <si>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</si>
  <si>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</si>
  <si>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</si>
  <si>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</si>
  <si>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</si>
  <si>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</si>
  <si>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</si>
  <si>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</si>
  <si>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</si>
  <si>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</si>
  <si>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</si>
  <si>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</si>
  <si>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</si>
  <si>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</si>
  <si>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</si>
  <si>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</si>
  <si>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</si>
  <si>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</si>
  <si>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</si>
  <si>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</si>
  <si>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</si>
  <si>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</si>
  <si>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</si>
  <si>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</si>
  <si>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</si>
  <si>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</si>
  <si>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</si>
  <si>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</si>
  <si>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</si>
  <si>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</si>
  <si>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</si>
  <si>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</si>
  <si>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</si>
  <si>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</si>
  <si>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</si>
  <si>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</si>
  <si>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</si>
  <si>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</si>
  <si>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</si>
  <si>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</si>
  <si>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</si>
  <si>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</si>
  <si>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</si>
  <si>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</si>
  <si>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</si>
  <si>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</si>
  <si>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</si>
  <si>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</si>
  <si>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</si>
  <si>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</si>
  <si>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</si>
  <si>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</si>
  <si>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</si>
  <si>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</si>
  <si>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</si>
  <si>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</si>
  <si>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</si>
  <si>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</si>
  <si>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</si>
  <si>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</si>
  <si>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</si>
  <si>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</si>
  <si>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</si>
  <si>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</si>
  <si>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</si>
  <si>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</si>
  <si>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</si>
  <si>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</si>
  <si>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</si>
  <si>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</si>
  <si>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</si>
  <si>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</si>
  <si>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</si>
  <si>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</si>
  <si>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</si>
  <si>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</si>
  <si>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</si>
  <si>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</si>
  <si>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</si>
  <si>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</si>
  <si>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</si>
  <si>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</si>
  <si>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</si>
  <si>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</si>
  <si>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</si>
  <si>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</si>
  <si>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</si>
  <si>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</si>
  <si>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</si>
  <si>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</si>
  <si>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</si>
  <si>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</si>
  <si>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</si>
  <si>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</si>
  <si>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</si>
  <si>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</si>
  <si>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</si>
  <si>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</si>
  <si>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</si>
  <si>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</si>
  <si>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</si>
  <si>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</si>
  <si>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</si>
  <si>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</si>
  <si>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</si>
  <si>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</si>
  <si>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</si>
  <si>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</si>
  <si>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</si>
  <si>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</si>
  <si>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</si>
  <si>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</si>
  <si>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</si>
  <si>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</si>
  <si>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</si>
  <si>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</si>
  <si>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</si>
  <si>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</si>
  <si>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</si>
  <si>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</si>
  <si>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</si>
  <si>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</si>
  <si>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</si>
  <si>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</si>
  <si>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</si>
  <si>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</si>
  <si>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</si>
  <si>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</si>
  <si>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</si>
  <si>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</si>
  <si>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</si>
  <si>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</si>
  <si>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</si>
  <si>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</si>
  <si>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</si>
  <si>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</si>
  <si>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</si>
  <si>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</si>
  <si>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</si>
  <si>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</si>
  <si>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</si>
  <si>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</si>
  <si>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</si>
  <si>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</si>
  <si>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</si>
  <si>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</si>
  <si>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</si>
  <si>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</si>
  <si>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</si>
  <si>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</si>
  <si>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</si>
  <si>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</si>
  <si>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</si>
  <si>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</si>
  <si>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</si>
  <si>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</si>
  <si>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</si>
  <si>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</si>
  <si>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</si>
  <si>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</si>
  <si>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</si>
  <si>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</si>
  <si>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</si>
  <si>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</si>
  <si>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</si>
  <si>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</si>
  <si>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</si>
  <si>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</si>
  <si>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</si>
  <si>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</si>
  <si>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</si>
  <si>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</si>
  <si>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</si>
  <si>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</si>
  <si>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</si>
  <si>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</si>
  <si>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</si>
  <si>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</si>
  <si>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</si>
  <si>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</si>
  <si>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</si>
  <si>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</si>
  <si>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</si>
  <si>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</si>
  <si>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</si>
  <si>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</si>
  <si>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</si>
  <si>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</si>
  <si>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</si>
  <si>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</si>
  <si>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</si>
  <si>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</si>
  <si>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</si>
  <si>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</si>
  <si>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</si>
  <si>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</si>
  <si>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</si>
  <si>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</si>
  <si>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</si>
  <si>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</si>
  <si>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</si>
  <si>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</si>
  <si>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</si>
  <si>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</si>
  <si>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</si>
  <si>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</si>
  <si>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</si>
  <si>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</si>
  <si>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</si>
  <si>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</si>
  <si>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</si>
  <si>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</si>
  <si>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</si>
  <si>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</si>
  <si>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</si>
  <si>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</si>
  <si>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</si>
  <si>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</si>
  <si>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</si>
  <si>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</si>
  <si>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</si>
  <si>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</si>
  <si>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</si>
  <si>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</si>
  <si>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</si>
  <si>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</si>
  <si>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</si>
  <si>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</si>
  <si>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</si>
  <si>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</si>
  <si>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</si>
  <si>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</si>
  <si>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</si>
  <si>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</si>
  <si>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</si>
  <si>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</si>
  <si>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</si>
  <si>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</si>
  <si>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</si>
  <si>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</si>
  <si>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</si>
  <si>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</si>
  <si>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</si>
  <si>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</si>
  <si>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</si>
  <si>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</si>
  <si>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</si>
  <si>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</si>
  <si>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</si>
  <si>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</si>
  <si>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</si>
  <si>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</si>
  <si>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</si>
  <si>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</si>
  <si>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</si>
  <si>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</si>
  <si>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</si>
  <si>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</si>
  <si>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</si>
  <si>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</si>
  <si>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</si>
  <si>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</si>
  <si>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</si>
  <si>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</si>
  <si>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</si>
  <si>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</si>
  <si>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</si>
  <si>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</si>
  <si>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</si>
  <si>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</si>
  <si>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</si>
  <si>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</si>
  <si>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</si>
  <si>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</si>
  <si>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</si>
  <si>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</si>
  <si>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</si>
  <si>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</si>
  <si>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</si>
  <si>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</si>
  <si>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</si>
  <si>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</si>
  <si>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</si>
  <si>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</si>
  <si>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</si>
  <si>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</si>
  <si>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</si>
  <si>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</si>
  <si>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</si>
  <si>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</si>
  <si>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</si>
  <si>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</si>
  <si>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</si>
  <si>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</si>
  <si>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</si>
  <si>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</si>
  <si>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</si>
  <si>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</si>
  <si>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</si>
  <si>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</si>
  <si>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</si>
  <si>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</si>
  <si>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</si>
  <si>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</si>
  <si>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</si>
  <si>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</si>
  <si>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</si>
  <si>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</si>
  <si>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</si>
  <si>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</si>
  <si>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</si>
  <si>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</si>
  <si>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</si>
  <si>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</si>
  <si>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</si>
  <si>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</si>
  <si>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</si>
  <si>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</si>
  <si>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</si>
  <si>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</si>
  <si>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</si>
  <si>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</si>
  <si>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</si>
  <si>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</si>
  <si>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</si>
  <si>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</si>
  <si>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</si>
  <si>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</si>
  <si>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</si>
  <si>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</si>
  <si>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</si>
  <si>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</si>
  <si>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</si>
  <si>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</si>
  <si>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</si>
  <si>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</si>
  <si>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</si>
  <si>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</si>
  <si>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</si>
  <si>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</si>
  <si>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</si>
  <si>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</si>
  <si>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</si>
  <si>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</si>
  <si>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</si>
  <si>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</si>
  <si>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</si>
  <si>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</si>
  <si>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</si>
  <si>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</si>
  <si>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</si>
  <si>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</si>
  <si>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</si>
  <si>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</si>
  <si>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</si>
  <si>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</si>
  <si>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</si>
  <si>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</si>
  <si>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</si>
  <si>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</si>
  <si>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</si>
  <si>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</si>
  <si>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</si>
  <si>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</si>
  <si>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</si>
  <si>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</si>
  <si>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</si>
  <si>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</si>
  <si>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</si>
  <si>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</si>
  <si>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</si>
  <si>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</si>
  <si>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</si>
  <si>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</si>
  <si>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</si>
  <si>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</si>
  <si>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</si>
  <si>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</si>
  <si>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</si>
  <si>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</si>
  <si>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</si>
  <si>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</si>
  <si>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</si>
  <si>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</si>
  <si>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</si>
  <si>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</si>
  <si>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</si>
  <si>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</si>
  <si>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</si>
  <si>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</si>
  <si>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</si>
  <si>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</si>
  <si>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</si>
  <si>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</si>
  <si>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</si>
  <si>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</si>
  <si>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</si>
  <si>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</si>
  <si>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</si>
  <si>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</si>
  <si>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</si>
  <si>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</si>
  <si>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</si>
  <si>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</si>
  <si>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</si>
  <si>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</si>
  <si>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</si>
  <si>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</si>
  <si>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</si>
  <si>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</si>
  <si>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</si>
  <si>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</si>
  <si>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</si>
  <si>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</si>
  <si>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</si>
  <si>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</si>
  <si>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</si>
  <si>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</si>
  <si>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</si>
  <si>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</si>
  <si>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</si>
  <si>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</si>
  <si>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</si>
  <si>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</si>
  <si>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</si>
  <si>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</si>
  <si>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</si>
  <si>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</si>
  <si>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</si>
  <si>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</si>
  <si>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</si>
  <si>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</si>
  <si>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</si>
  <si>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</si>
  <si>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</si>
  <si>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</si>
  <si>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</si>
  <si>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</si>
  <si>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</si>
  <si>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</si>
  <si>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</si>
  <si>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</si>
  <si>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</si>
  <si>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</si>
  <si>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</si>
  <si>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</si>
  <si>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</si>
  <si>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</si>
  <si>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</si>
  <si>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</si>
  <si>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</si>
  <si>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</si>
  <si>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</si>
  <si>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</si>
  <si>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</si>
  <si>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</si>
  <si>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</si>
  <si>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</si>
  <si>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</si>
  <si>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</si>
  <si>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</si>
  <si>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</si>
  <si>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</si>
  <si>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</si>
  <si>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</si>
  <si>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</si>
  <si>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</si>
  <si>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</si>
  <si>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</si>
  <si>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</si>
  <si>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</si>
  <si>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</si>
  <si>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</si>
  <si>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</si>
  <si>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</si>
  <si>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</si>
  <si>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</si>
  <si>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</si>
  <si>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</si>
  <si>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</si>
  <si>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</si>
  <si>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</si>
  <si>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</si>
  <si>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</si>
  <si>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</si>
  <si>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</si>
  <si>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</si>
  <si>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</si>
  <si>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</si>
  <si>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</si>
  <si>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</si>
  <si>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</si>
  <si>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</si>
  <si>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</si>
  <si>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</si>
  <si>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</si>
  <si>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</si>
  <si>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</si>
  <si>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</si>
  <si>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</si>
  <si>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</si>
  <si>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</si>
  <si>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</si>
  <si>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</si>
  <si>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</si>
  <si>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</si>
  <si>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</si>
  <si>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</si>
  <si>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</si>
  <si>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</si>
  <si>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</si>
  <si>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</si>
  <si>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</si>
  <si>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</si>
  <si>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</si>
  <si>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</si>
  <si>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</si>
  <si>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</si>
  <si>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</si>
  <si>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</si>
  <si>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</si>
  <si>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</si>
  <si>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</si>
  <si>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</si>
  <si>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</si>
  <si>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</si>
  <si>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</si>
  <si>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</si>
  <si>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</si>
  <si>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</si>
  <si>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</si>
  <si>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</si>
  <si>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</si>
  <si>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</si>
  <si>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</si>
  <si>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</si>
  <si>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</si>
  <si>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</si>
  <si>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</si>
  <si>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</si>
  <si>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</si>
  <si>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</si>
  <si>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</si>
  <si>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</si>
  <si>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</si>
  <si>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</si>
  <si>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</si>
  <si>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</si>
  <si>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</si>
  <si>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</si>
  <si>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</si>
  <si>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</si>
  <si>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</si>
  <si>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</si>
  <si>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</si>
  <si>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</si>
  <si>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</si>
  <si>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</si>
  <si>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</si>
  <si>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</si>
  <si>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</si>
  <si>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</si>
  <si>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</si>
  <si>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</si>
  <si>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</si>
  <si>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</si>
  <si>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</si>
  <si>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</si>
  <si>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</si>
  <si>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</si>
  <si>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</si>
  <si>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</si>
  <si>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</si>
  <si>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</si>
  <si>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</si>
  <si>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</si>
  <si>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</si>
  <si>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</si>
  <si>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</si>
  <si>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</si>
  <si>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</si>
  <si>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</si>
  <si>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</si>
  <si>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</si>
  <si>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</si>
  <si>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</si>
  <si>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</si>
  <si>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</si>
  <si>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</si>
  <si>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</si>
  <si>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</si>
  <si>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</si>
  <si>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</si>
  <si>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</si>
  <si>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</si>
  <si>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</si>
  <si>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</si>
  <si>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</si>
  <si>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</si>
  <si>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</si>
  <si>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</si>
  <si>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</si>
  <si>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</si>
  <si>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</si>
  <si>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</si>
  <si>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</si>
  <si>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</si>
  <si>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</si>
  <si>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</si>
  <si>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</si>
  <si>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</si>
  <si>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</si>
  <si>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</si>
  <si>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</si>
  <si>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</si>
  <si>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</si>
  <si>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</si>
  <si>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</si>
  <si>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</si>
  <si>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</si>
  <si>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</si>
  <si>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</si>
  <si>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</si>
  <si>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</si>
  <si>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</si>
  <si>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</si>
  <si>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</si>
  <si>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</si>
  <si>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</si>
  <si>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</si>
  <si>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</si>
  <si>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</si>
  <si>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</si>
  <si>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</si>
  <si>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</si>
  <si>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</si>
  <si>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</si>
  <si>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</si>
  <si>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</si>
  <si>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</si>
  <si>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</si>
  <si>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</si>
  <si>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</si>
  <si>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</si>
  <si>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</si>
  <si>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</si>
  <si>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</si>
  <si>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</si>
  <si>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</si>
  <si>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</si>
  <si>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</si>
  <si>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</si>
  <si>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</si>
  <si>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</si>
  <si>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</si>
  <si>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</si>
  <si>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</si>
  <si>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</si>
  <si>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</si>
  <si>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</si>
  <si>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</si>
  <si>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</si>
  <si>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</si>
  <si>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</si>
  <si>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</si>
  <si>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</si>
  <si>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</si>
  <si>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</si>
  <si>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</si>
  <si>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</si>
  <si>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</si>
  <si>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</si>
  <si>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</si>
  <si>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</si>
  <si>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</si>
  <si>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</si>
  <si>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</si>
  <si>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</si>
  <si>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</si>
  <si>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</si>
  <si>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</si>
  <si>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</si>
  <si>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</si>
  <si>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</si>
  <si>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</si>
  <si>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</si>
  <si>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</si>
  <si>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</si>
  <si>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</si>
  <si>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</si>
  <si>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</si>
  <si>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</si>
  <si>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</si>
  <si>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</si>
  <si>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</si>
  <si>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</si>
  <si>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</si>
  <si>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</si>
  <si>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</si>
  <si>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</si>
  <si>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</si>
  <si>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</si>
  <si>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</si>
  <si>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</si>
  <si>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</si>
  <si>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</si>
  <si>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</si>
  <si>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</si>
  <si>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</si>
  <si>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</si>
  <si>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</si>
  <si>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</si>
  <si>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</si>
  <si>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</si>
  <si>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</si>
  <si>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</si>
  <si>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</si>
  <si>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</si>
  <si>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</si>
  <si>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</si>
  <si>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</si>
  <si>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</si>
  <si>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</si>
  <si>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</si>
  <si>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</si>
  <si>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</si>
  <si>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</si>
  <si>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</si>
  <si>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</si>
  <si>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</si>
  <si>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</si>
  <si>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</si>
  <si>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</si>
  <si>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</si>
  <si>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</si>
  <si>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</si>
  <si>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</si>
  <si>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</si>
  <si>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</si>
  <si>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</si>
  <si>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</si>
  <si>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</si>
  <si>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</si>
  <si>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</si>
  <si>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</si>
  <si>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</si>
  <si>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</si>
  <si>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</si>
  <si>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</si>
  <si>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</si>
  <si>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</si>
  <si>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</si>
  <si>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</si>
  <si>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</si>
  <si>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</si>
  <si>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</si>
  <si>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</si>
  <si>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</si>
  <si>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</si>
  <si>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</si>
  <si>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</si>
  <si>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</si>
  <si>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</si>
  <si>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</si>
  <si>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</si>
  <si>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</si>
  <si>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</si>
  <si>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</si>
  <si>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</si>
  <si>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</si>
  <si>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</si>
  <si>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</si>
  <si>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</si>
  <si>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</si>
  <si>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</si>
  <si>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</si>
  <si>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</si>
  <si>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</si>
  <si>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</si>
  <si>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</si>
  <si>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</si>
  <si>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</si>
  <si>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</si>
  <si>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</si>
  <si>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</si>
  <si>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</si>
  <si>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</si>
  <si>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</si>
  <si>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</si>
  <si>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</si>
  <si>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</si>
  <si>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</si>
  <si>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</si>
  <si>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</si>
  <si>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</si>
  <si>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</si>
  <si>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</si>
  <si>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</si>
  <si>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</si>
  <si>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</si>
  <si>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</si>
  <si>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</si>
  <si>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</si>
  <si>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</si>
  <si>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</si>
  <si>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</si>
  <si>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</si>
  <si>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</si>
  <si>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</si>
  <si>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</si>
  <si>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</si>
  <si>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</si>
  <si>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</si>
  <si>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</si>
  <si>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</si>
  <si>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</si>
  <si>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</si>
  <si>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</si>
  <si>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</si>
  <si>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</si>
  <si>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</si>
  <si>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</si>
  <si>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</si>
  <si>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</si>
  <si>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</si>
  <si>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</si>
  <si>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</si>
  <si>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</si>
  <si>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</si>
  <si>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</si>
  <si>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</si>
  <si>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</si>
  <si>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</si>
  <si>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</si>
  <si>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</si>
  <si>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</si>
  <si>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</si>
  <si>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</si>
  <si>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</si>
  <si>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</si>
  <si>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</si>
  <si>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</si>
  <si>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</si>
  <si>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</si>
  <si>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</si>
  <si>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</si>
  <si>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</si>
  <si>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</si>
  <si>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</si>
  <si>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</si>
  <si>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</si>
  <si>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</si>
  <si>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</si>
  <si>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</si>
  <si>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</si>
  <si>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</si>
  <si>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</si>
  <si>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</si>
  <si>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</si>
  <si>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</si>
  <si>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</si>
  <si>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</si>
  <si>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</si>
  <si>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</si>
  <si>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</si>
  <si>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</si>
  <si>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</si>
  <si>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</si>
  <si>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</si>
  <si>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</si>
  <si>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</si>
  <si>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</si>
  <si>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</si>
  <si>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</si>
  <si>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</si>
  <si>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</si>
  <si>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</si>
  <si>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</si>
  <si>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</si>
  <si>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</si>
  <si>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</si>
  <si>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</si>
  <si>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</si>
  <si>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</si>
  <si>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</si>
  <si>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</si>
  <si>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</si>
  <si>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</si>
  <si>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</si>
  <si>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</si>
  <si>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</si>
  <si>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</si>
  <si>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</si>
  <si>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</si>
  <si>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</si>
  <si>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</si>
  <si>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</si>
  <si>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</si>
  <si>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</si>
  <si>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</si>
  <si>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</si>
  <si>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</si>
  <si>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</si>
  <si>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</si>
  <si>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</si>
  <si>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</si>
  <si>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</si>
  <si>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</si>
  <si>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</si>
  <si>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</si>
  <si>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</si>
  <si>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</si>
  <si>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</si>
  <si>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</si>
  <si>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</si>
  <si>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</si>
  <si>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</si>
  <si>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</si>
  <si>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</si>
  <si>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</si>
  <si>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</si>
  <si>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</si>
  <si>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</si>
  <si>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</si>
  <si>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</si>
  <si>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</si>
  <si>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</si>
  <si>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</si>
  <si>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</si>
  <si>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</si>
  <si>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</si>
  <si>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</si>
  <si>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</si>
  <si>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</si>
  <si>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</si>
  <si>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</si>
  <si>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</si>
  <si>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</si>
  <si>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</si>
  <si>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</si>
  <si>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</si>
  <si>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</si>
  <si>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</si>
  <si>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</si>
  <si>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</si>
  <si>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</si>
  <si>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</si>
  <si>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</si>
  <si>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</si>
  <si>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</si>
  <si>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</si>
  <si>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</si>
  <si>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</si>
  <si>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</si>
  <si>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</si>
  <si>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</si>
  <si>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</si>
  <si>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</si>
  <si>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</si>
  <si>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</si>
  <si>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</si>
  <si>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</si>
  <si>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</si>
  <si>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</si>
  <si>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</si>
  <si>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</si>
  <si>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</si>
  <si>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</si>
  <si>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</si>
  <si>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</si>
  <si>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</si>
  <si>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</si>
  <si>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</si>
  <si>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</si>
  <si>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</si>
  <si>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</si>
  <si>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</si>
  <si>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</si>
  <si>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</si>
  <si>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</si>
  <si>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</si>
  <si>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</si>
  <si>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</si>
  <si>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</si>
  <si>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</si>
  <si>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</si>
  <si>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</si>
  <si>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</si>
  <si>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</si>
  <si>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</si>
  <si>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</si>
  <si>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</si>
  <si>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</si>
  <si>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</si>
  <si>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</si>
  <si>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</si>
  <si>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</si>
  <si>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</si>
  <si>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</si>
  <si>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</si>
  <si>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</si>
  <si>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</si>
  <si>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</si>
  <si>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</si>
  <si>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</si>
  <si>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</si>
  <si>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</si>
  <si>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</si>
  <si>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</si>
  <si>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</si>
  <si>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</si>
  <si>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</si>
  <si>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</si>
  <si>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</si>
  <si>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</si>
  <si>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</si>
  <si>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</si>
  <si>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</si>
  <si>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</si>
  <si>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</si>
  <si>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</si>
  <si>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</si>
  <si>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</si>
  <si>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</si>
  <si>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</si>
  <si>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</si>
  <si>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</si>
  <si>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</si>
  <si>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</si>
  <si>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</si>
  <si>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</si>
  <si>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</si>
  <si>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</si>
  <si>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</si>
  <si>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</si>
  <si>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</si>
  <si>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</si>
  <si>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</si>
  <si>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</si>
  <si>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</si>
  <si>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</si>
  <si>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</si>
  <si>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</si>
  <si>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</si>
  <si>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</si>
  <si>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</si>
  <si>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</si>
  <si>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</si>
  <si>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</si>
  <si>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</si>
  <si>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</si>
  <si>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</si>
  <si>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</si>
  <si>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</si>
  <si>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</si>
  <si>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</si>
  <si>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</si>
  <si>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</si>
  <si>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</si>
  <si>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</si>
  <si>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</si>
  <si>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</si>
  <si>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</si>
  <si>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</si>
  <si>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</si>
  <si>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</si>
  <si>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</si>
  <si>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</si>
  <si>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</si>
  <si>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</si>
  <si>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</si>
  <si>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</si>
  <si>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</si>
  <si>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</si>
  <si>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</si>
  <si>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</si>
  <si>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</si>
  <si>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</si>
  <si>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</si>
  <si>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</si>
  <si>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</si>
  <si>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</si>
  <si>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</si>
  <si>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</si>
  <si>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</si>
  <si>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</si>
  <si>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</si>
  <si>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</si>
  <si>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</si>
  <si>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</si>
  <si>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</si>
  <si>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</si>
  <si>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</si>
  <si>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</si>
  <si>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</si>
  <si>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</si>
  <si>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</si>
  <si>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</si>
  <si>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</si>
  <si>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</si>
  <si>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</si>
  <si>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</si>
  <si>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</si>
  <si>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</si>
  <si>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</si>
  <si>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</si>
  <si>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</si>
  <si>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</si>
  <si>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</si>
  <si>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</si>
  <si>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</si>
  <si>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</si>
  <si>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</si>
  <si>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</si>
  <si>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</si>
  <si>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</si>
  <si>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</si>
  <si>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</si>
  <si>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</si>
  <si>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</si>
  <si>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</si>
  <si>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</si>
  <si>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</si>
  <si>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</si>
  <si>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</si>
  <si>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</si>
  <si>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</si>
  <si>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</si>
  <si>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</si>
  <si>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</si>
  <si>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</si>
  <si>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</si>
  <si>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</si>
  <si>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</si>
  <si>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</si>
  <si>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</si>
  <si>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</si>
  <si>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</si>
  <si>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</si>
  <si>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</si>
  <si>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</si>
  <si>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</si>
  <si>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</si>
  <si>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</si>
  <si>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</si>
  <si>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</si>
  <si>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</si>
  <si>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</si>
  <si>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</si>
  <si>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</si>
  <si>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</si>
  <si>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</si>
  <si>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</si>
  <si>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</si>
  <si>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</si>
  <si>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</si>
  <si>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</si>
  <si>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</si>
  <si>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</si>
  <si>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</si>
  <si>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</si>
  <si>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</si>
  <si>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</si>
  <si>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</si>
  <si>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</si>
  <si>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</si>
  <si>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</si>
  <si>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</si>
  <si>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</si>
  <si>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</si>
  <si>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</si>
  <si>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</si>
  <si>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</si>
  <si>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</si>
  <si>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</si>
  <si>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</si>
  <si>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</si>
  <si>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</si>
  <si>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</si>
  <si>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</si>
  <si>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</si>
  <si>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</si>
  <si>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</si>
  <si>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</si>
  <si>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</si>
  <si>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</si>
  <si>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</si>
  <si>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</si>
  <si>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</si>
  <si>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</si>
  <si>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</si>
  <si>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</si>
  <si>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</si>
  <si>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</si>
  <si>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</si>
  <si>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</si>
  <si>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</si>
  <si>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</si>
  <si>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</si>
  <si>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</si>
  <si>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</si>
  <si>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</si>
  <si>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</si>
  <si>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</si>
  <si>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</si>
  <si>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</si>
  <si>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</si>
  <si>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</si>
  <si>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</si>
  <si>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</si>
  <si>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</si>
  <si>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</si>
  <si>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</si>
  <si>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</si>
  <si>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</si>
  <si>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</si>
  <si>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</si>
  <si>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</si>
  <si>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</si>
  <si>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</si>
  <si>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</si>
  <si>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</si>
  <si>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</si>
  <si>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</si>
  <si>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</si>
  <si>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</si>
  <si>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</si>
  <si>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</si>
  <si>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</si>
  <si>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</si>
  <si>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</si>
  <si>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</si>
  <si>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</si>
  <si>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</si>
  <si>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</si>
  <si>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</si>
  <si>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</si>
  <si>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</si>
  <si>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</si>
  <si>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</si>
  <si>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</si>
  <si>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</si>
  <si>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</si>
  <si>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</si>
  <si>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</si>
  <si>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</si>
  <si>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</si>
  <si>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</si>
  <si>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</si>
  <si>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</si>
  <si>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</si>
  <si>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</si>
  <si>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</si>
  <si>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</si>
  <si>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</si>
  <si>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</si>
  <si>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</si>
  <si>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</si>
  <si>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</si>
  <si>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</si>
  <si>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</si>
  <si>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</si>
  <si>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</si>
  <si>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</si>
  <si>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</si>
  <si>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</si>
  <si>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</si>
  <si>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</si>
  <si>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</si>
  <si>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</si>
  <si>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</si>
  <si>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</si>
  <si>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</si>
  <si>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</si>
  <si>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</si>
  <si>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</si>
  <si>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</si>
  <si>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</si>
  <si>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</si>
  <si>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</si>
  <si>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</si>
  <si>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</si>
  <si>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</si>
  <si>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</si>
  <si>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</si>
  <si>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</si>
  <si>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</si>
  <si>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</si>
  <si>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</si>
  <si>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</si>
  <si>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</si>
  <si>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</si>
  <si>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</si>
  <si>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</si>
  <si>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</si>
  <si>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</si>
  <si>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</si>
  <si>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</si>
  <si>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</si>
  <si>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</si>
  <si>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</si>
  <si>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</si>
  <si>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</si>
  <si>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</si>
  <si>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</si>
  <si>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</si>
  <si>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</si>
  <si>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</si>
  <si>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</si>
  <si>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</si>
  <si>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</si>
  <si>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</si>
  <si>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</si>
  <si>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</si>
  <si>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</si>
  <si>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</si>
  <si>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</si>
  <si>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</si>
  <si>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</si>
  <si>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</si>
  <si>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</si>
  <si>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</si>
  <si>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</si>
  <si>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</si>
  <si>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</si>
  <si>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</si>
  <si>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</si>
  <si>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</si>
  <si>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</si>
  <si>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</si>
  <si>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</si>
  <si>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</si>
  <si>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</si>
  <si>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</si>
  <si>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</si>
  <si>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</si>
  <si>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</si>
  <si>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</si>
  <si>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</si>
  <si>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</si>
  <si>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</si>
  <si>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</si>
  <si>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</si>
  <si>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</si>
  <si>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</si>
  <si>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</si>
  <si>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</si>
  <si>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</si>
  <si>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</si>
  <si>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</si>
  <si>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</si>
  <si>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</si>
  <si>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</si>
  <si>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</si>
  <si>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</si>
  <si>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</si>
  <si>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</si>
  <si>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</si>
  <si>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</si>
  <si>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</si>
  <si>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</si>
  <si>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</si>
  <si>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</si>
  <si>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</si>
  <si>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</si>
  <si>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</si>
  <si>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</si>
  <si>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</si>
  <si>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</si>
  <si>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</si>
  <si>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</si>
  <si>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</si>
  <si>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</si>
  <si>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</si>
  <si>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</si>
  <si>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</si>
  <si>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</si>
  <si>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</si>
  <si>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</si>
  <si>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</si>
  <si>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</si>
  <si>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</si>
  <si>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</si>
  <si>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</si>
  <si>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</si>
  <si>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</si>
  <si>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</si>
  <si>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</si>
  <si>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</si>
  <si>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</si>
  <si>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</si>
  <si>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</si>
  <si>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</si>
  <si>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</si>
  <si>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</si>
  <si>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</si>
  <si>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</si>
  <si>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</si>
  <si>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</si>
  <si>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</si>
  <si>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</si>
  <si>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</si>
  <si>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</si>
  <si>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</si>
  <si>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</si>
  <si>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</si>
  <si>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</si>
  <si>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</si>
  <si>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</si>
  <si>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</si>
  <si>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</si>
  <si>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</si>
  <si>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</si>
  <si>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</si>
  <si>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</si>
  <si>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</si>
  <si>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</si>
  <si>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</si>
  <si>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</si>
  <si>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</si>
  <si>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</si>
  <si>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</si>
  <si>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</si>
  <si>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</si>
  <si>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</si>
  <si>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</si>
  <si>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</si>
  <si>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</si>
  <si>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</si>
  <si>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</si>
  <si>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</si>
  <si>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</si>
  <si>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</si>
  <si>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</si>
  <si>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</si>
  <si>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</si>
  <si>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</si>
  <si>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</si>
  <si>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</si>
  <si>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</si>
  <si>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</si>
  <si>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</si>
  <si>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</si>
  <si>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</si>
  <si>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</si>
  <si>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</si>
  <si>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</si>
  <si>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</si>
  <si>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</si>
  <si>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</si>
  <si>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</si>
  <si>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</si>
  <si>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</si>
  <si>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</si>
  <si>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</si>
  <si>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</si>
  <si>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</si>
  <si>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</si>
  <si>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</si>
  <si>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</si>
  <si>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</si>
  <si>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</si>
  <si>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</si>
  <si>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</si>
  <si>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</si>
  <si>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</si>
  <si>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</si>
  <si>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</si>
  <si>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</si>
  <si>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</si>
  <si>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</si>
  <si>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</si>
  <si>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</si>
  <si>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</si>
  <si>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</si>
  <si>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</si>
  <si>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</si>
  <si>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</si>
  <si>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</si>
  <si>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</si>
  <si>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</si>
  <si>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</si>
  <si>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</si>
  <si>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</si>
  <si>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</si>
  <si>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</si>
  <si>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</si>
  <si>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</si>
  <si>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</si>
  <si>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</si>
  <si>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</si>
  <si>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</si>
  <si>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</si>
  <si>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</si>
  <si>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</si>
  <si>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</si>
  <si>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</si>
  <si>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</si>
  <si>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</si>
  <si>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</si>
  <si>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</si>
  <si>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</si>
  <si>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</si>
  <si>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</si>
  <si>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</si>
  <si>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</si>
  <si>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</si>
  <si>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</si>
  <si>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</si>
  <si>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</si>
  <si>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</si>
  <si>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</si>
  <si>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</si>
  <si>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</si>
  <si>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</si>
  <si>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</si>
  <si>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</si>
  <si>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</si>
  <si>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</si>
  <si>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</si>
  <si>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</si>
  <si>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</si>
  <si>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</si>
  <si>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</si>
  <si>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</si>
  <si>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</si>
  <si>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</si>
  <si>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</si>
  <si>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</si>
  <si>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</si>
  <si>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</si>
  <si>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</si>
  <si>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</si>
  <si>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</si>
  <si>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</si>
  <si>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</si>
  <si>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</si>
  <si>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</si>
  <si>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</si>
  <si>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</si>
  <si>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</si>
  <si>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</si>
  <si>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</si>
  <si>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</si>
  <si>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</si>
  <si>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</si>
  <si>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</si>
  <si>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</si>
  <si>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</si>
  <si>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</si>
  <si>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</si>
  <si>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</si>
  <si>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</si>
  <si>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</si>
  <si>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</si>
  <si>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</si>
  <si>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</si>
  <si>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</si>
  <si>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</si>
  <si>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</si>
  <si>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</si>
  <si>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</si>
  <si>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</si>
  <si>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</si>
  <si>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</si>
  <si>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</si>
  <si>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</si>
  <si>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</si>
  <si>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</si>
  <si>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</si>
  <si>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</si>
  <si>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</si>
  <si>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</si>
  <si>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</si>
  <si>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</si>
  <si>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</si>
  <si>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</si>
  <si>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</si>
  <si>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</si>
  <si>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</si>
  <si>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</si>
  <si>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</si>
  <si>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</si>
  <si>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</si>
  <si>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</si>
  <si>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</si>
  <si>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</si>
  <si>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</si>
  <si>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</si>
  <si>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</si>
  <si>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</si>
  <si>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</si>
  <si>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</si>
  <si>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</si>
  <si>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</si>
  <si>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</si>
  <si>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</si>
  <si>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</si>
  <si>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</si>
  <si>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</si>
  <si>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</si>
  <si>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</si>
  <si>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</si>
  <si>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</si>
  <si>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</si>
  <si>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</si>
  <si>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</si>
  <si>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</si>
  <si>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</si>
  <si>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</si>
  <si>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</si>
  <si>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</si>
  <si>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</si>
  <si>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</si>
  <si>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</si>
  <si>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</si>
  <si>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</si>
  <si>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</si>
  <si>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</si>
  <si>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</si>
  <si>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</si>
  <si>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</si>
  <si>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</si>
  <si>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</si>
  <si>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</si>
  <si>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</si>
  <si>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</si>
  <si>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</si>
  <si>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</si>
  <si>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</si>
  <si>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</si>
  <si>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</si>
  <si>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</si>
  <si>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</si>
  <si>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</si>
  <si>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</si>
  <si>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</si>
  <si>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</si>
  <si>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</si>
  <si>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</si>
  <si>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</si>
  <si>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</si>
  <si>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</si>
  <si>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</si>
  <si>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</si>
  <si>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</si>
  <si>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</si>
  <si>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</si>
  <si>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</si>
  <si>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</si>
  <si>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</si>
  <si>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</si>
  <si>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</si>
  <si>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</si>
  <si>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</si>
  <si>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</si>
  <si>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</si>
  <si>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</si>
  <si>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</si>
  <si>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</si>
  <si>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</si>
  <si>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</si>
  <si>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</si>
  <si>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</si>
  <si>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</si>
  <si>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</si>
  <si>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</si>
  <si>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</si>
  <si>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</si>
  <si>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</si>
  <si>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</si>
  <si>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</si>
  <si>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</si>
  <si>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</si>
  <si>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</si>
  <si>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</si>
  <si>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</si>
  <si>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</si>
  <si>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</si>
  <si>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</si>
  <si>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</si>
  <si>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</si>
  <si>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</si>
  <si>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</si>
  <si>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</si>
  <si>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</si>
  <si>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</si>
  <si>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</si>
  <si>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</si>
  <si>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</si>
  <si>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</si>
  <si>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</si>
  <si>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</si>
  <si>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</si>
  <si>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</si>
  <si>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</si>
  <si>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</si>
  <si>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</si>
  <si>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</si>
  <si>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</si>
  <si>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</si>
  <si>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</si>
  <si>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</si>
  <si>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</si>
  <si>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</si>
  <si>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</si>
  <si>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</si>
  <si>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</si>
  <si>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</si>
  <si>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</si>
  <si>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</si>
  <si>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</si>
  <si>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</si>
  <si>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</si>
  <si>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</si>
  <si>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</si>
  <si>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</si>
  <si>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</si>
  <si>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</si>
  <si>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</si>
  <si>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</si>
  <si>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</si>
  <si>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</si>
  <si>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</si>
  <si>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</si>
  <si>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</si>
  <si>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</si>
  <si>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</si>
  <si>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</si>
  <si>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</si>
  <si>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</si>
  <si>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</si>
  <si>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</si>
  <si>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</si>
  <si>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</si>
  <si>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</si>
  <si>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</si>
  <si>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</si>
  <si>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</si>
  <si>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</si>
  <si>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</si>
  <si>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</si>
  <si>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</si>
  <si>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</si>
  <si>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</si>
  <si>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</si>
  <si>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</si>
  <si>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</si>
  <si>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</si>
  <si>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</si>
  <si>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</si>
  <si>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</si>
  <si>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</si>
  <si>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</si>
  <si>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</si>
  <si>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</si>
  <si>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</si>
  <si>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</si>
  <si>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</si>
  <si>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</si>
  <si>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</si>
  <si>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</si>
  <si>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</si>
  <si>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</si>
  <si>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</si>
  <si>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</si>
  <si>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</si>
  <si>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</si>
  <si>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</si>
  <si>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</si>
  <si>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</si>
  <si>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</si>
  <si>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</si>
  <si>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</si>
  <si>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</si>
  <si>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</si>
  <si>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</si>
  <si>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</si>
  <si>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</si>
  <si>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</si>
  <si>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</si>
  <si>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</si>
  <si>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</si>
  <si>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</si>
  <si>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</si>
  <si>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</si>
  <si>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</si>
  <si>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</si>
  <si>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</si>
  <si>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</si>
  <si>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</si>
  <si>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</si>
  <si>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</si>
  <si>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</si>
  <si>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</si>
  <si>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</si>
  <si>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</si>
  <si>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</si>
  <si>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</si>
  <si>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</si>
  <si>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</si>
  <si>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</si>
  <si>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</si>
  <si>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</si>
  <si>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</si>
  <si>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</si>
  <si>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</si>
  <si>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</si>
  <si>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</si>
  <si>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</si>
  <si>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</si>
  <si>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</si>
  <si>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</si>
  <si>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</si>
  <si>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</si>
  <si>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</si>
  <si>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</si>
  <si>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</si>
  <si>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</si>
  <si>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</si>
  <si>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</si>
  <si>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</si>
  <si>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</si>
  <si>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</si>
  <si>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</si>
  <si>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</si>
  <si>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</si>
  <si>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</si>
  <si>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</si>
  <si>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</si>
  <si>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</si>
  <si>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</si>
  <si>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</si>
  <si>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</si>
  <si>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</si>
  <si>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</si>
  <si>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</si>
  <si>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</si>
  <si>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</si>
  <si>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</si>
  <si>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</si>
  <si>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</si>
  <si>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</si>
  <si>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</si>
  <si>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</si>
  <si>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</si>
  <si>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</si>
  <si>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</si>
  <si>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</si>
  <si>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</si>
  <si>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</si>
  <si>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</si>
  <si>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</si>
  <si>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</si>
  <si>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</si>
  <si>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</si>
  <si>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</si>
  <si>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</si>
  <si>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</si>
  <si>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</si>
  <si>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</si>
  <si>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</si>
  <si>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</si>
  <si>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</si>
  <si>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</si>
  <si>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</si>
  <si>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</si>
  <si>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</si>
  <si>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</si>
  <si>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</si>
  <si>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</si>
  <si>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</si>
  <si>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</si>
  <si>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</si>
  <si>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</si>
  <si>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</si>
  <si>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</si>
  <si>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</si>
  <si>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</si>
  <si>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</si>
  <si>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</si>
  <si>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</si>
  <si>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</si>
  <si>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</si>
  <si>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</si>
  <si>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</si>
  <si>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</si>
  <si>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</si>
  <si>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</si>
  <si>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</si>
  <si>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</si>
  <si>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</si>
  <si>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</si>
  <si>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</si>
  <si>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</si>
  <si>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</si>
  <si>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</si>
  <si>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</si>
  <si>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</si>
  <si>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</si>
  <si>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</si>
  <si>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</si>
  <si>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</si>
  <si>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</si>
  <si>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</si>
  <si>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</si>
  <si>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</si>
  <si>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</si>
  <si>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</si>
  <si>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</si>
  <si>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</si>
  <si>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</si>
  <si>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</si>
  <si>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</si>
  <si>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</si>
  <si>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</si>
  <si>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</si>
  <si>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</si>
  <si>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</si>
  <si>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</si>
  <si>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</si>
  <si>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</si>
  <si>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</si>
  <si>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</si>
  <si>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</si>
  <si>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</si>
  <si>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</si>
  <si>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</si>
  <si>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</si>
  <si>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</si>
  <si>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</si>
  <si>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</si>
  <si>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</si>
  <si>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</si>
  <si>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</si>
  <si>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</si>
  <si>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</si>
  <si>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</si>
  <si>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</si>
  <si>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</si>
  <si>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</si>
  <si>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</si>
  <si>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</si>
  <si>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</si>
  <si>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</si>
  <si>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</si>
  <si>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</si>
  <si>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</si>
  <si>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</si>
  <si>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</si>
  <si>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</si>
  <si>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</si>
  <si>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</si>
  <si>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</si>
  <si>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</si>
  <si>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</si>
  <si>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</si>
  <si>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</si>
  <si>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</si>
  <si>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</si>
  <si>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</si>
  <si>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</si>
  <si>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</si>
  <si>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</si>
  <si>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</si>
  <si>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</si>
  <si>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</si>
  <si>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</si>
  <si>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</si>
  <si>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</si>
  <si>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</si>
  <si>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</si>
  <si>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</si>
  <si>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</si>
  <si>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</si>
  <si>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</si>
  <si>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</si>
  <si>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</si>
  <si>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</si>
  <si>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</si>
  <si>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</si>
  <si>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</si>
  <si>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</si>
  <si>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</si>
  <si>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</si>
  <si>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</si>
  <si>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</si>
  <si>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</si>
  <si>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</si>
  <si>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</si>
  <si>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</si>
  <si>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</si>
  <si>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</si>
  <si>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</si>
  <si>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</si>
  <si>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</si>
  <si>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</si>
  <si>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</si>
  <si>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</si>
  <si>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</si>
  <si>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</si>
  <si>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</si>
  <si>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</si>
  <si>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</si>
  <si>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</si>
  <si>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</si>
  <si>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</si>
  <si>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</si>
  <si>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</si>
  <si>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</si>
  <si>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</si>
  <si>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</si>
  <si>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</si>
  <si>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</si>
  <si>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</si>
  <si>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</si>
  <si>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</si>
  <si>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</si>
  <si>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</si>
  <si>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</si>
  <si>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</si>
  <si>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</si>
  <si>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</si>
  <si>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</si>
  <si>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</si>
  <si>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</si>
  <si>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</si>
  <si>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</si>
  <si>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</si>
  <si>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</si>
  <si>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</si>
  <si>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</si>
  <si>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</si>
  <si>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</si>
  <si>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</si>
  <si>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</si>
  <si>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</si>
  <si>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</si>
  <si>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</si>
  <si>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</si>
  <si>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</si>
  <si>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</si>
  <si>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</si>
  <si>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</si>
  <si>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</si>
  <si>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</si>
  <si>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</si>
  <si>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</si>
  <si>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</si>
  <si>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</si>
  <si>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</si>
  <si>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</si>
  <si>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</si>
  <si>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</si>
  <si>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</si>
  <si>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</si>
  <si>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</si>
  <si>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</si>
  <si>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</si>
  <si>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</si>
  <si>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</si>
  <si>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</si>
  <si>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</si>
  <si>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</si>
  <si>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</si>
  <si>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</si>
  <si>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</si>
  <si>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</si>
  <si>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</si>
  <si>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</si>
  <si>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</si>
  <si>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</si>
  <si>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</si>
  <si>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</si>
  <si>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</si>
  <si>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</si>
  <si>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</si>
  <si>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</si>
  <si>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</si>
  <si>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</si>
  <si>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</si>
  <si>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</si>
  <si>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</si>
  <si>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</si>
  <si>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</si>
  <si>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</si>
  <si>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</si>
  <si>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</si>
  <si>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</si>
  <si>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</si>
  <si>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</si>
  <si>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</si>
  <si>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</si>
  <si>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</si>
  <si>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</si>
  <si>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</si>
  <si>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</si>
  <si>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</si>
  <si>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</si>
  <si>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</si>
  <si>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</si>
  <si>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</si>
  <si>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</si>
  <si>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</si>
  <si>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</si>
  <si>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</si>
  <si>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</si>
  <si>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</si>
  <si>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</si>
  <si>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</si>
  <si>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</si>
  <si>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</si>
  <si>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</si>
  <si>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</si>
  <si>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</si>
  <si>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</si>
  <si>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</si>
  <si>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</si>
  <si>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</si>
  <si>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</si>
  <si>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</si>
  <si>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</si>
  <si>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</si>
  <si>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</si>
  <si>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</si>
  <si>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</si>
  <si>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</si>
  <si>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</si>
  <si>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</si>
  <si>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</si>
  <si>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</si>
  <si>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</si>
  <si>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</si>
  <si>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</si>
  <si>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</si>
  <si>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</si>
  <si>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</si>
  <si>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</si>
  <si>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</si>
  <si>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</si>
  <si>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</si>
  <si>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</si>
  <si>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</si>
  <si>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</si>
  <si>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</si>
  <si>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</si>
  <si>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</si>
  <si>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</si>
  <si>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</si>
  <si>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</si>
  <si>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</si>
  <si>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</si>
  <si>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</si>
  <si>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</si>
  <si>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</si>
  <si>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</si>
  <si>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</si>
  <si>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</si>
  <si>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</si>
  <si>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</si>
  <si>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</si>
  <si>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</si>
  <si>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</si>
  <si>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</si>
  <si>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</si>
  <si>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</si>
  <si>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</si>
  <si>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</si>
  <si>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</si>
  <si>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</si>
  <si>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</si>
  <si>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</si>
  <si>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</si>
  <si>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</si>
  <si>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</si>
  <si>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</si>
  <si>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</si>
  <si>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</si>
  <si>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</si>
  <si>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</si>
  <si>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</si>
  <si>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</si>
  <si>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</si>
  <si>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</si>
  <si>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</si>
  <si>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</si>
  <si>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</si>
  <si>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</si>
  <si>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</si>
  <si>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</si>
  <si>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</si>
  <si>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</si>
  <si>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</si>
  <si>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</si>
  <si>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</si>
  <si>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</si>
  <si>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</si>
  <si>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</si>
  <si>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</si>
  <si>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</si>
  <si>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</si>
  <si>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</si>
  <si>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</si>
  <si>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</si>
  <si>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</si>
  <si>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</si>
  <si>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</si>
  <si>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</si>
  <si>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</si>
  <si>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</si>
  <si>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</si>
  <si>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</si>
  <si>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</si>
  <si>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</si>
  <si>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</si>
  <si>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</si>
  <si>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</si>
  <si>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</si>
  <si>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</si>
  <si>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</si>
  <si>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</si>
  <si>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</si>
  <si>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</si>
  <si>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</si>
  <si>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</si>
  <si>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</si>
  <si>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</si>
  <si>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</si>
  <si>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</si>
  <si>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</si>
  <si>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</si>
  <si>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</si>
  <si>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</si>
  <si>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</si>
  <si>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</si>
  <si>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</si>
  <si>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</si>
  <si>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</si>
  <si>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</si>
  <si>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</si>
  <si>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</si>
  <si>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</si>
  <si>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</si>
  <si>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</si>
  <si>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</si>
  <si>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</si>
  <si>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</si>
  <si>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</si>
  <si>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</si>
  <si>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</si>
  <si>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</si>
  <si>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</si>
  <si>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</si>
  <si>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</si>
  <si>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</si>
  <si>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</si>
  <si>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</si>
  <si>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</si>
  <si>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</si>
  <si>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</si>
  <si>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</si>
  <si>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</si>
  <si>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</si>
  <si>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</si>
  <si>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</si>
  <si>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</si>
  <si>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</si>
  <si>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</si>
  <si>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</si>
  <si>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</si>
  <si>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</si>
  <si>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</si>
  <si>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</si>
  <si>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</si>
  <si>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</si>
  <si>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</si>
  <si>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</si>
  <si>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</si>
  <si>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</si>
  <si>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</si>
  <si>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</si>
  <si>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</si>
  <si>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</si>
  <si>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</si>
  <si>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</si>
  <si>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</si>
  <si>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</si>
  <si>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</si>
  <si>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</si>
  <si>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</si>
  <si>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</si>
  <si>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</si>
  <si>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</si>
  <si>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</si>
  <si>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</si>
  <si>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</si>
  <si>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</si>
  <si>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</si>
  <si>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</si>
  <si>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</si>
  <si>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</si>
  <si>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</si>
  <si>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</si>
  <si>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</si>
  <si>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</si>
  <si>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</si>
  <si>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</si>
  <si>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</si>
  <si>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</si>
  <si>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</si>
  <si>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</si>
  <si>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</si>
  <si>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</si>
  <si>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</si>
  <si>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</si>
  <si>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</si>
  <si>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</si>
  <si>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</si>
  <si>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</si>
  <si>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</si>
  <si>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</si>
  <si>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</si>
  <si>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</si>
  <si>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</si>
  <si>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</si>
  <si>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</si>
  <si>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</si>
  <si>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</si>
  <si>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</si>
  <si>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</si>
  <si>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</si>
  <si>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</si>
  <si>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</si>
  <si>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</si>
  <si>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</si>
  <si>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</si>
  <si>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</si>
  <si>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</si>
  <si>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</si>
  <si>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</si>
  <si>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</si>
  <si>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</si>
  <si>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</si>
  <si>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</si>
  <si>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</si>
  <si>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</si>
  <si>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</si>
  <si>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</si>
  <si>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</si>
  <si>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</si>
  <si>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</si>
  <si>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</si>
  <si>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</si>
  <si>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</si>
  <si>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</si>
  <si>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</si>
  <si>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</si>
  <si>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</si>
  <si>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</si>
  <si>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</si>
  <si>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</si>
  <si>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</si>
  <si>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</si>
  <si>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</si>
  <si>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</si>
  <si>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</si>
  <si>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</si>
  <si>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</si>
  <si>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</si>
  <si>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</si>
  <si>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</si>
  <si>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</si>
  <si>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</si>
  <si>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</si>
  <si>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</si>
  <si>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</si>
  <si>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</si>
  <si>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</si>
  <si>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</si>
  <si>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</si>
  <si>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</si>
  <si>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</si>
  <si>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</si>
  <si>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</si>
  <si>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</si>
  <si>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</si>
  <si>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</si>
  <si>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</si>
  <si>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</si>
  <si>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</si>
  <si>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</si>
  <si>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</si>
  <si>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</si>
  <si>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</si>
  <si>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</si>
  <si>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</si>
  <si>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</si>
  <si>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</si>
  <si>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</si>
  <si>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</si>
  <si>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</si>
  <si>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</si>
  <si>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</si>
  <si>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</si>
  <si>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</si>
  <si>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</si>
  <si>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</si>
  <si>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</si>
  <si>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</si>
  <si>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</si>
  <si>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</si>
  <si>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</si>
  <si>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</si>
  <si>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</si>
  <si>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</si>
  <si>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</si>
  <si>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</si>
  <si>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</si>
  <si>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</si>
  <si>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</si>
  <si>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</si>
  <si>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</si>
  <si>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</si>
  <si>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</si>
  <si>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</si>
  <si>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</si>
  <si>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</si>
  <si>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</si>
  <si>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</si>
  <si>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</si>
  <si>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</si>
  <si>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</si>
  <si>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</si>
  <si>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</si>
  <si>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</si>
  <si>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</si>
  <si>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</si>
  <si>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</si>
  <si>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</si>
  <si>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</si>
  <si>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</si>
  <si>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</si>
  <si>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</si>
  <si>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</si>
  <si>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</si>
  <si>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</si>
  <si>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</si>
  <si>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</si>
  <si>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</si>
  <si>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</si>
  <si>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</si>
  <si>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</si>
  <si>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</si>
  <si>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</si>
  <si>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</si>
  <si>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</si>
  <si>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</si>
  <si>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</si>
  <si>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</si>
  <si>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</si>
  <si>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</si>
  <si>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</si>
  <si>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</si>
  <si>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</si>
  <si>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</si>
  <si>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</si>
  <si>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</si>
  <si>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</si>
  <si>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</si>
  <si>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</si>
  <si>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</si>
  <si>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</si>
  <si>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</si>
  <si>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</si>
  <si>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</si>
  <si>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</si>
  <si>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</si>
  <si>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</si>
  <si>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</si>
  <si>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</si>
  <si>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</si>
  <si>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</si>
  <si>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</si>
  <si>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</si>
  <si>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</si>
  <si>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</si>
  <si>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</si>
  <si>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</si>
  <si>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</si>
  <si>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</si>
  <si>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</si>
  <si>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</si>
  <si>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</si>
  <si>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</si>
  <si>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</si>
  <si>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</si>
  <si>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</si>
  <si>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</si>
  <si>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</si>
  <si>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</si>
  <si>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</si>
  <si>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</si>
  <si>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</si>
  <si>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</si>
  <si>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</si>
  <si>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</si>
  <si>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</si>
  <si>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</si>
  <si>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</si>
  <si>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</si>
  <si>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</si>
  <si>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</si>
  <si>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</si>
  <si>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</si>
  <si>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</si>
  <si>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</si>
  <si>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</si>
  <si>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</si>
  <si>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</si>
  <si>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</si>
  <si>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</si>
  <si>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</si>
  <si>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</si>
  <si>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</si>
  <si>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</si>
  <si>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</si>
  <si>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</si>
  <si>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</si>
  <si>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</si>
  <si>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</si>
  <si>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</si>
  <si>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</si>
  <si>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</si>
  <si>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</si>
  <si>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</si>
  <si>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</si>
  <si>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</si>
  <si>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</si>
  <si>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</si>
  <si>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</si>
  <si>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</si>
  <si>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</si>
  <si>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</si>
  <si>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</si>
  <si>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</si>
  <si>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</si>
  <si>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</si>
  <si>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</si>
  <si>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</si>
  <si>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</si>
  <si>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</si>
  <si>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</si>
  <si>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</si>
  <si>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</si>
  <si>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</si>
  <si>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</si>
  <si>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</si>
  <si>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</si>
  <si>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</si>
  <si>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</si>
  <si>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</si>
  <si>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</si>
  <si>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</si>
  <si>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</si>
  <si>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</si>
  <si>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</si>
  <si>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</si>
  <si>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</si>
  <si>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</si>
  <si>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</si>
  <si>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</si>
  <si>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</si>
  <si>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</si>
  <si>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</si>
  <si>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</si>
  <si>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</si>
  <si>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</si>
  <si>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</si>
  <si>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</si>
  <si>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</si>
  <si>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</si>
  <si>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</si>
  <si>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</si>
  <si>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</si>
  <si>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</si>
  <si>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</si>
  <si>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</si>
  <si>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</si>
  <si>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</si>
  <si>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</si>
  <si>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</si>
  <si>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</si>
  <si>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</si>
  <si>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</si>
  <si>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</si>
  <si>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</si>
  <si>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</si>
  <si>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</si>
  <si>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</si>
  <si>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</si>
  <si>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</si>
  <si>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</si>
  <si>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</si>
  <si>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</si>
  <si>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</si>
  <si>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</si>
  <si>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</si>
  <si>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</si>
  <si>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</si>
  <si>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</si>
  <si>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</si>
  <si>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</si>
  <si>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</si>
  <si>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</si>
  <si>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</si>
  <si>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</si>
  <si>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</si>
  <si>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</si>
  <si>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</si>
  <si>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</si>
  <si>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</si>
  <si>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</si>
  <si>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</si>
  <si>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</si>
  <si>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</si>
  <si>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</si>
  <si>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</si>
  <si>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</si>
  <si>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</si>
  <si>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</si>
  <si>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</si>
  <si>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</si>
  <si>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</si>
  <si>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</si>
  <si>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</si>
  <si>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</si>
  <si>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</si>
  <si>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</si>
  <si>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</si>
  <si>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</si>
  <si>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</si>
  <si>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</si>
  <si>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</si>
  <si>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</si>
  <si>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</si>
  <si>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</si>
  <si>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</si>
  <si>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</si>
  <si>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</si>
  <si>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</si>
  <si>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</si>
  <si>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</si>
  <si>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</si>
  <si>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</si>
  <si>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</si>
  <si>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</si>
  <si>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</si>
  <si>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</si>
  <si>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</si>
  <si>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</si>
  <si>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</si>
  <si>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</si>
  <si>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</si>
  <si>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</si>
  <si>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</si>
  <si>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</si>
  <si>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</si>
  <si>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</si>
  <si>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</si>
  <si>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</si>
  <si>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</si>
  <si>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</si>
  <si>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</si>
  <si>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</si>
  <si>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</si>
  <si>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</si>
  <si>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</si>
  <si>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</si>
  <si>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</si>
  <si>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</si>
  <si>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</si>
  <si>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</si>
  <si>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</si>
  <si>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</si>
  <si>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</si>
  <si>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</si>
  <si>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</si>
  <si>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</si>
  <si>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</si>
  <si>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</si>
  <si>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</si>
  <si>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</si>
  <si>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</si>
  <si>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</si>
  <si>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</si>
  <si>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</si>
  <si>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</si>
  <si>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</si>
  <si>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</si>
  <si>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</si>
  <si>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</si>
  <si>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</si>
  <si>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</si>
  <si>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</si>
  <si>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</si>
  <si>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</si>
  <si>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</si>
  <si>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</si>
  <si>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</si>
  <si>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</si>
  <si>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</si>
  <si>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</si>
  <si>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</si>
  <si>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</si>
  <si>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</si>
  <si>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</si>
  <si>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</si>
  <si>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</si>
  <si>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</si>
  <si>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</si>
  <si>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</si>
  <si>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</si>
  <si>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</si>
  <si>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</si>
  <si>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</si>
  <si>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</si>
  <si>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</si>
  <si>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</si>
  <si>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</si>
  <si>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</si>
  <si>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</si>
  <si>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</si>
  <si>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</si>
  <si>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</si>
  <si>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</si>
  <si>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</si>
  <si>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</si>
  <si>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</si>
  <si>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</si>
  <si>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</si>
  <si>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</si>
  <si>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</si>
  <si>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</si>
  <si>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</si>
  <si>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</si>
  <si>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</si>
  <si>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</si>
  <si>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</si>
  <si>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</si>
  <si>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</si>
  <si>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</si>
  <si>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</si>
  <si>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</si>
  <si>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</si>
  <si>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</si>
  <si>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</si>
  <si>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</si>
  <si>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</si>
  <si>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</si>
  <si>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</si>
  <si>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</si>
  <si>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</si>
  <si>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</si>
  <si>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</si>
  <si>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</si>
  <si>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</si>
  <si>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</si>
  <si>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</si>
  <si>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</si>
  <si>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</si>
  <si>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</si>
  <si>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</si>
  <si>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</si>
  <si>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各用途分类</t>
  </si>
  <si>
    <t>1号楼</t>
  </si>
  <si>
    <t>2号楼</t>
  </si>
  <si>
    <t>神路街</t>
  </si>
  <si>
    <t>合计</t>
  </si>
  <si>
    <t xml:space="preserve">配套 </t>
  </si>
  <si>
    <t>车位</t>
  </si>
  <si>
    <t>未标注</t>
  </si>
  <si>
    <t>酒店配套</t>
  </si>
  <si>
    <t>车库个数</t>
  </si>
  <si>
    <t>1层</t>
  </si>
  <si>
    <t>2层</t>
  </si>
  <si>
    <t>3层</t>
  </si>
  <si>
    <t>4层</t>
  </si>
  <si>
    <t>-1层</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</si>
  <si>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</si>
  <si>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</si>
  <si>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</si>
  <si>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</si>
  <si>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</si>
  <si>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</si>
  <si>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</si>
  <si>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</si>
  <si>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</si>
  <si>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</si>
  <si>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</si>
  <si>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</si>
  <si>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</si>
  <si>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</si>
  <si>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</si>
  <si>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</si>
  <si>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</si>
  <si>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</si>
  <si>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t>可租赁</t>
  </si>
  <si>
    <t>是</t>
  </si>
  <si>
    <t>收益法</t>
  </si>
  <si>
    <t>收益法车</t>
  </si>
  <si>
    <t>自定义容积率</t>
  </si>
  <si>
    <t>不临65条商业街</t>
  </si>
  <si>
    <t>与级别开发程度不一致</t>
  </si>
  <si>
    <t>通路</t>
  </si>
  <si>
    <t>通电</t>
  </si>
  <si>
    <t>通讯</t>
  </si>
  <si>
    <t>通上水</t>
  </si>
  <si>
    <t>通下水</t>
  </si>
  <si>
    <t>燃气</t>
  </si>
  <si>
    <t>平整</t>
  </si>
  <si>
    <t>楼层修正</t>
  </si>
  <si>
    <t>押一</t>
  </si>
  <si>
    <t>非生产用房</t>
  </si>
  <si>
    <t>否</t>
  </si>
  <si>
    <t>自定义</t>
  </si>
  <si>
    <t>成本法</t>
  </si>
  <si>
    <t>收益法（汇总）</t>
  </si>
  <si>
    <t>成本比率</t>
  </si>
  <si>
    <t>总价</t>
  </si>
  <si>
    <t>情况3</t>
  </si>
  <si>
    <t>正常</t>
  </si>
  <si>
    <t>自行开发建设</t>
  </si>
  <si>
    <t>非个人房产</t>
  </si>
  <si>
    <t>估价对象位于朝阳门商圈，周边商业氛围成熟，人流量大，商业繁华度较好</t>
    <phoneticPr fontId="3" type="noConversion"/>
  </si>
  <si>
    <r>
      <rPr>
        <sz val="10"/>
        <color theme="9" tint="-0.249977111117893"/>
        <rFont val="宋体"/>
        <family val="3"/>
        <charset val="134"/>
      </rPr>
      <t>估价对象周边道路状况、公共交通通达情况、停车便捷程度，综合评价交通便捷度较好</t>
    </r>
  </si>
  <si>
    <t>估价对象所在区域公共配套设施齐备情况较好</t>
  </si>
  <si>
    <r>
      <rPr>
        <sz val="10"/>
        <color theme="9" tint="-0.249977111117893"/>
        <rFont val="宋体"/>
        <family val="3"/>
        <charset val="134"/>
      </rPr>
      <t>估价对象所在区域基础设施水平</t>
    </r>
  </si>
  <si>
    <t>区域自然环境：；人文环境；综合评价环境状况较好</t>
  </si>
  <si>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</si>
  <si>
    <t>较好</t>
  </si>
  <si>
    <t>好</t>
  </si>
  <si>
    <t>已包含在土地取得成本中</t>
  </si>
  <si>
    <t>未包含在土地购买价格中</t>
  </si>
  <si>
    <t>全部缴纳</t>
  </si>
  <si>
    <t>2025-4</t>
    <phoneticPr fontId="3" type="noConversion"/>
  </si>
  <si>
    <t>2025-3</t>
    <phoneticPr fontId="3" type="noConversion"/>
  </si>
  <si>
    <t>2025-2</t>
    <phoneticPr fontId="3" type="noConversion"/>
  </si>
  <si>
    <t>2025-1</t>
  </si>
  <si>
    <t>平均</t>
  </si>
  <si>
    <t>住宅</t>
  </si>
  <si>
    <t>公共服务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</si>
</sst>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
      <sz val="11"/>
      <name val="华文细黑"/>
      <family val="3"/>
      <charset val="134"/>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270" fillId="0" borderId="1" xfId="19" applyFont="1" applyBorder="1" applyAlignment="1"/>
    <xf numFmtId="0" fontId="270" fillId="0" borderId="0" xfId="19" applyFont="1" applyAlignment="1"/>
    <xf numFmtId="0" fontId="270" fillId="0" borderId="0" xfId="19" applyFont="1">
      <alignment vertical="center"/>
    </xf>
    <xf numFmtId="0" fontId="271" fillId="0" borderId="1" xfId="19" applyFont="1" applyBorder="1" applyAlignment="1"/>
    <xf numFmtId="0" fontId="98" fillId="0" borderId="0" xfId="19" applyFont="1" applyAlignment="1"/>
    <xf numFmtId="0" fontId="98" fillId="0" borderId="1" xfId="19" applyFont="1" applyBorder="1" applyAlignment="1"/>
    <xf numFmtId="0" fontId="114" fillId="0" borderId="1" xfId="19" applyFont="1" applyBorder="1" applyAlignment="1"/>
    <xf numFmtId="49" fontId="270" fillId="0" borderId="0" xfId="19" applyNumberFormat="1"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5" fillId="0" borderId="1" xfId="10" applyNumberFormat="1" applyBorder="1">
      <alignment vertical="center"/>
    </xf>
    <xf numFmtId="0" fontId="95" fillId="0" borderId="1" xfId="10" applyBorder="1">
      <alignment vertical="center"/>
    </xf>
    <xf numFmtId="43" fontId="95" fillId="0" borderId="1" xfId="10" applyNumberFormat="1" applyBorder="1" applyAlignment="1">
      <alignment horizontal="right" vertical="center"/>
    </xf>
    <xf numFmtId="0" fontId="95" fillId="0" borderId="1" xfId="10" applyBorder="1" applyAlignment="1">
      <alignment horizontal="right" vertical="center"/>
    </xf>
    <xf numFmtId="0" fontId="95" fillId="0" borderId="13" xfId="10" applyBorder="1" applyAlignment="1">
      <alignment horizontal="right" vertical="center"/>
    </xf>
    <xf numFmtId="0" fontId="95" fillId="0" borderId="13" xfId="10" applyBorder="1">
      <alignment vertical="center"/>
    </xf>
    <xf numFmtId="43" fontId="47" fillId="0" borderId="1" xfId="0" applyNumberFormat="1" applyFont="1" applyBorder="1" applyAlignment="1" applyProtection="1">
      <alignment horizontal="center" vertical="center" wrapText="1"/>
      <protection locked="0"/>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3" fontId="95" fillId="0" borderId="1" xfId="10" applyNumberFormat="1" applyBorder="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10" fontId="47" fillId="22" borderId="1"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53" fillId="22" borderId="49" xfId="1" applyFont="1" applyFill="1" applyBorder="1" applyAlignment="1" applyProtection="1">
      <alignment horizontal="center" vertical="center"/>
      <protection locked="0"/>
    </xf>
    <xf numFmtId="177" fontId="54" fillId="22" borderId="1" xfId="1" applyNumberFormat="1" applyFont="1" applyFill="1" applyBorder="1" applyAlignment="1">
      <alignment horizontal="center"/>
    </xf>
    <xf numFmtId="9" fontId="95" fillId="0" borderId="0" xfId="10" applyNumberFormat="1">
      <alignment vertical="center"/>
    </xf>
    <xf numFmtId="43" fontId="95" fillId="0" borderId="0" xfId="1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53" fillId="6" borderId="1" xfId="16" applyNumberFormat="1" applyFont="1" applyFill="1" applyBorder="1" applyAlignment="1">
      <alignment horizontal="left" vertical="center" wrapText="1"/>
    </xf>
    <xf numFmtId="0" fontId="143" fillId="11" borderId="125" xfId="16" applyFont="1" applyFill="1" applyBorder="1" applyAlignment="1">
      <alignment horizontal="left" vertical="center" wrapText="1"/>
    </xf>
    <xf numFmtId="0" fontId="99" fillId="17" borderId="0" xfId="16" applyFont="1" applyFill="1" applyAlignment="1">
      <alignment horizontal="left" vertical="center"/>
    </xf>
    <xf numFmtId="10" fontId="99" fillId="0" borderId="121" xfId="16" applyNumberFormat="1" applyFont="1" applyBorder="1" applyAlignment="1">
      <alignment horizontal="left" vertical="center"/>
    </xf>
    <xf numFmtId="10" fontId="99" fillId="0" borderId="0" xfId="16" applyNumberFormat="1" applyFont="1" applyAlignment="1">
      <alignment horizontal="left" vertical="center"/>
    </xf>
    <xf numFmtId="0" fontId="99" fillId="0" borderId="0" xfId="16" applyFont="1" applyAlignment="1">
      <alignment horizontal="left" vertical="center"/>
    </xf>
    <xf numFmtId="0" fontId="144" fillId="13" borderId="0" xfId="16" applyFont="1" applyFill="1" applyAlignment="1">
      <alignment horizontal="left" vertical="center"/>
    </xf>
    <xf numFmtId="2" fontId="144" fillId="13" borderId="0" xfId="16" applyNumberFormat="1" applyFont="1" applyFill="1" applyAlignment="1">
      <alignment horizontal="right" vertical="center"/>
    </xf>
    <xf numFmtId="0" fontId="0" fillId="5" borderId="0" xfId="0" applyFill="1" applyAlignment="1">
      <alignment horizontal="right" vertical="center"/>
    </xf>
    <xf numFmtId="0" fontId="54" fillId="21" borderId="1" xfId="16" applyFont="1" applyFill="1" applyBorder="1" applyAlignment="1">
      <alignment horizontal="left" vertical="center" wrapText="1"/>
    </xf>
    <xf numFmtId="0" fontId="252" fillId="21" borderId="125" xfId="16" applyFont="1" applyFill="1" applyBorder="1" applyAlignment="1">
      <alignment horizontal="left" vertical="center" wrapText="1"/>
    </xf>
    <xf numFmtId="0" fontId="102" fillId="21" borderId="0" xfId="16" applyFont="1" applyFill="1" applyAlignment="1">
      <alignment horizontal="left" vertical="center"/>
    </xf>
    <xf numFmtId="10" fontId="102" fillId="21" borderId="121" xfId="16" applyNumberFormat="1" applyFont="1" applyFill="1" applyBorder="1" applyAlignment="1">
      <alignment horizontal="left" vertical="center"/>
    </xf>
    <xf numFmtId="10" fontId="102" fillId="21" borderId="0" xfId="16" applyNumberFormat="1" applyFont="1" applyFill="1" applyAlignment="1">
      <alignment horizontal="left" vertical="center"/>
    </xf>
    <xf numFmtId="0" fontId="144" fillId="21" borderId="0" xfId="16" applyFont="1" applyFill="1" applyAlignment="1">
      <alignment horizontal="left" vertical="center"/>
    </xf>
    <xf numFmtId="2" fontId="144" fillId="21" borderId="0" xfId="16" applyNumberFormat="1" applyFont="1" applyFill="1" applyAlignment="1">
      <alignment horizontal="right" vertical="center"/>
    </xf>
    <xf numFmtId="0" fontId="102" fillId="0" borderId="119" xfId="16" applyFont="1" applyBorder="1" applyAlignment="1">
      <alignment horizontal="left" vertical="center"/>
    </xf>
    <xf numFmtId="0" fontId="242" fillId="15" borderId="0" xfId="16" applyFont="1" applyFill="1" applyAlignment="1">
      <alignment horizontal="left" vertical="center"/>
    </xf>
    <xf numFmtId="0" fontId="102" fillId="0" borderId="0" xfId="16" applyFont="1" applyAlignment="1">
      <alignment horizontal="left" vertical="center"/>
    </xf>
    <xf numFmtId="0" fontId="144" fillId="18" borderId="171" xfId="16" applyFont="1" applyFill="1" applyBorder="1" applyAlignment="1">
      <alignment horizontal="left" vertical="center"/>
    </xf>
    <xf numFmtId="1" fontId="0" fillId="5" borderId="0" xfId="0" applyNumberFormat="1" applyFill="1">
      <alignment vertical="center"/>
    </xf>
    <xf numFmtId="2" fontId="144" fillId="18" borderId="171" xfId="16" applyNumberFormat="1" applyFont="1" applyFill="1" applyBorder="1" applyAlignment="1">
      <alignment horizontal="right" vertical="center"/>
    </xf>
    <xf numFmtId="0" fontId="144" fillId="13" borderId="0" xfId="16" applyFont="1" applyFill="1" applyAlignment="1">
      <alignment horizontal="right" vertical="center"/>
    </xf>
    <xf numFmtId="0" fontId="0" fillId="5" borderId="0" xfId="0" applyFill="1">
      <alignment vertical="center"/>
    </xf>
    <xf numFmtId="0" fontId="144" fillId="21" borderId="0" xfId="16" applyFont="1" applyFill="1" applyAlignment="1">
      <alignment horizontal="right" vertical="center"/>
    </xf>
    <xf numFmtId="196" fontId="0" fillId="5" borderId="0" xfId="0" applyNumberFormat="1" applyFill="1" applyAlignment="1">
      <alignment horizontal="right" vertical="center"/>
    </xf>
  </cellXfs>
  <cellStyles count="22">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3"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千位分隔 2" xfId="21" xr:uid="{00000000-0005-0000-0000-000015000000}"/>
  </cellStyles>
  <dxfs count="142">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233-&#26085;&#22363;&#22269;&#38469;&#36152;&#26131;&#20013;&#24515;&#21644;&#31070;&#36335;&#34903;\2025-1-0233-&#31070;&#36335;&#34903;10&#21495;2025&#24180;.xlsx" TargetMode="External"/><Relationship Id="rId1" Type="http://schemas.openxmlformats.org/officeDocument/2006/relationships/externalLinkPath" Target="/&#21608;&#24420;/&#25253;&#21578;/2025&#24180;/2025-1-0233-&#26085;&#22363;&#22269;&#38469;&#36152;&#26131;&#20013;&#24515;&#21644;&#31070;&#36335;&#34903;/P01/&#26368;&#32456;/2025-1-0233-&#31070;&#36335;&#34903;10&#21495;2025&#2418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5&#24180;\2025-1-0302-&#26085;&#22363;&#37202;&#24215;&#37096;&#20998;\P02\2025-1-0302-P02&#26085;&#22363;&#37202;&#24215;&#37096;&#20998;&#27979;&#31639;-&#19968;&#23457;.xlsx" TargetMode="External"/><Relationship Id="rId1" Type="http://schemas.openxmlformats.org/officeDocument/2006/relationships/externalLinkPath" Target="2025-1-0302-P02&#26085;&#22363;&#37202;&#24215;&#37096;&#20998;&#27979;&#31639;-&#19968;&#23457;.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21608;&#24420;\&#25253;&#21578;\2025&#24180;\2025-1-0302-&#26085;&#22363;&#37202;&#24215;&#37096;&#20998;\P02\2025-1-0302-P02&#31070;&#36335;&#34903;10&#21495;2025&#24180;.xlsx" TargetMode="External"/><Relationship Id="rId1" Type="http://schemas.openxmlformats.org/officeDocument/2006/relationships/externalLinkPath" Target="2025-1-0302-P02&#31070;&#36335;&#34903;10&#21495;2025&#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收益法车"/>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26071.749999999898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row r="14">
          <cell r="B14">
            <v>4967.6099999999997</v>
          </cell>
        </row>
      </sheetData>
      <sheetData sheetId="18">
        <row r="118">
          <cell r="H118">
            <v>14144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收益法车"/>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41764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房地产抵押价值预评估</v>
      </c>
    </row>
    <row r="3" spans="1:2">
      <c r="A3" s="1116" t="s">
        <v>523</v>
      </c>
      <c r="B3" s="1117">
        <f>'预评函-封皮'!B40</f>
        <v>0</v>
      </c>
    </row>
    <row r="4" spans="1:2">
      <c r="A4" s="1116" t="s">
        <v>524</v>
      </c>
      <c r="B4" s="1117" t="str">
        <f ca="1">'预评函-封皮'!B46</f>
        <v>郑燚（注册号：1120070131)、崔锴（注册号：0)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受贵公司委托，我公司对房地产抵押价值进行了预评估。</v>
      </c>
    </row>
    <row r="7" spans="1:2">
      <c r="A7" s="1116" t="s">
        <v>566</v>
      </c>
      <c r="B7" s="1117" t="str">
        <f>'预评函-1'!A7</f>
        <v>估价对象为房地产，为所有。根据《国有土地使用证》[]，估价对象（分摊）出让国有建设用地使用权面积为0平方米，建筑面积为21949.9100000001平方米。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估价对象为房地产,属开发建设的，该项目尚在开发建设中。根据《国有土地使用证》[]，估价对象（分摊）出让国有建设用地使用权面积为0平方米，规划建筑面积为21949.9100000001平方米。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2025年4月15日（评估专业人员实地查勘之日）</v>
      </c>
    </row>
    <row r="13" spans="1:2">
      <c r="A13" s="1116" t="s">
        <v>529</v>
      </c>
      <c r="B13" s="1117" t="str">
        <f>'预评函-1'!A18</f>
        <v>本次估价的“房地产价值”是指在正常市场情况下，在价值时点2025年4月15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27409</v>
      </c>
    </row>
    <row r="21" spans="1:2">
      <c r="A21" s="1116" t="s">
        <v>537</v>
      </c>
      <c r="B21" s="1117">
        <f ca="1">'预评函-2'!D7</f>
        <v>12487</v>
      </c>
    </row>
    <row r="22" spans="1:2">
      <c r="A22" s="1116" t="s">
        <v>538</v>
      </c>
      <c r="B22" s="1117" t="str">
        <f ca="1">'预评函-2'!D6</f>
        <v>贰亿柒仟肆佰零玖万元整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27409</v>
      </c>
    </row>
    <row r="31" spans="1:2">
      <c r="A31" s="1116" t="s">
        <v>576</v>
      </c>
      <c r="B31" s="1117">
        <f ca="1">'预评函-2'!D15</f>
        <v>12487</v>
      </c>
    </row>
    <row r="32" spans="1:2">
      <c r="A32" s="1116" t="s">
        <v>543</v>
      </c>
      <c r="B32" s="1117" t="str">
        <f ca="1">'预评函-2'!D14</f>
        <v>贰亿柒仟肆佰零玖万元整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10420</v>
      </c>
    </row>
    <row r="39" spans="1:2">
      <c r="A39" s="1116" t="s">
        <v>545</v>
      </c>
      <c r="B39" s="1117">
        <f ca="1">'预评函-2'!D21</f>
        <v>4747</v>
      </c>
    </row>
    <row r="40" spans="1:2">
      <c r="A40" s="1116" t="s">
        <v>546</v>
      </c>
      <c r="B40" s="1117" t="str">
        <f ca="1">'预评函-2'!D20</f>
        <v>壹亿零肆佰贰拾万元整</v>
      </c>
    </row>
    <row r="41" spans="1:2">
      <c r="A41" s="1116" t="s">
        <v>592</v>
      </c>
      <c r="B41" s="1117" t="str">
        <f>'预评函-3'!A4</f>
        <v>房地产</v>
      </c>
    </row>
    <row r="42" spans="1:2" ht="31.2">
      <c r="A42" s="1116" t="s">
        <v>590</v>
      </c>
      <c r="B42" s="1117" t="str">
        <f>'预评函-3'!B2</f>
        <v>建筑面积</v>
      </c>
    </row>
    <row r="43" spans="1:2">
      <c r="A43" s="1116" t="s">
        <v>591</v>
      </c>
      <c r="B43" s="1117">
        <f>'预评函-3'!B4</f>
        <v>21949.910000000098</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18172</v>
      </c>
    </row>
    <row r="48" spans="1:2">
      <c r="A48" s="1116" t="s">
        <v>549</v>
      </c>
      <c r="B48" s="1117">
        <f ca="1">'预评函-3'!E4</f>
        <v>8279</v>
      </c>
    </row>
    <row r="49" spans="1:2">
      <c r="A49" s="1116" t="s">
        <v>550</v>
      </c>
      <c r="B49" s="1117" t="str">
        <f ca="1">'预评函-3'!D5</f>
        <v>壹亿捌仟壹佰柒拾贰万元整</v>
      </c>
    </row>
    <row r="50" spans="1:2">
      <c r="A50" s="1116" t="s">
        <v>574</v>
      </c>
      <c r="B50" s="1117" t="str">
        <f>'预评函-3'!F2</f>
        <v>在建建筑物价值</v>
      </c>
    </row>
    <row r="51" spans="1:2">
      <c r="A51" s="1116" t="s">
        <v>551</v>
      </c>
      <c r="B51" s="1117">
        <f ca="1">'预评函-3'!F4</f>
        <v>9237</v>
      </c>
    </row>
    <row r="52" spans="1:2">
      <c r="A52" s="1116" t="s">
        <v>552</v>
      </c>
      <c r="B52" s="1117">
        <f ca="1">'预评函-3'!G4</f>
        <v>4208</v>
      </c>
    </row>
    <row r="53" spans="1:2">
      <c r="A53" s="1116" t="s">
        <v>580</v>
      </c>
      <c r="B53" s="1117" t="str">
        <f ca="1">'预评函-3'!F5</f>
        <v>玖仟贰佰叁拾柒万元整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3346</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3332</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3333</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3334</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3335</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3336</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3337</v>
      </c>
    </row>
    <row r="8" spans="1:23">
      <c r="A8" s="1438" t="s">
        <v>1026</v>
      </c>
      <c r="B8" s="1438" t="s">
        <v>1027</v>
      </c>
      <c r="C8" s="1439" t="s">
        <v>319</v>
      </c>
      <c r="F8" s="1440" t="s">
        <v>1028</v>
      </c>
      <c r="H8" s="1440" t="s">
        <v>2573</v>
      </c>
      <c r="I8" s="1440" t="s">
        <v>3338</v>
      </c>
    </row>
    <row r="9" spans="1:23">
      <c r="A9" s="1438" t="s">
        <v>1029</v>
      </c>
      <c r="B9" s="1438" t="s">
        <v>1030</v>
      </c>
      <c r="C9" s="1439" t="s">
        <v>320</v>
      </c>
      <c r="F9" s="1440" t="s">
        <v>1031</v>
      </c>
      <c r="H9" s="1440"/>
      <c r="I9" s="1442" t="s">
        <v>3339</v>
      </c>
    </row>
    <row r="10" spans="1:23">
      <c r="A10" s="1438" t="s">
        <v>1032</v>
      </c>
      <c r="B10" s="1438" t="s">
        <v>1033</v>
      </c>
      <c r="C10" s="1439" t="s">
        <v>321</v>
      </c>
      <c r="F10" s="1440" t="s">
        <v>2574</v>
      </c>
      <c r="I10" s="1442" t="s">
        <v>3340</v>
      </c>
    </row>
    <row r="11" spans="1:23">
      <c r="A11" s="1438" t="s">
        <v>1034</v>
      </c>
      <c r="B11" s="1438" t="s">
        <v>1035</v>
      </c>
      <c r="C11" s="1439" t="s">
        <v>322</v>
      </c>
      <c r="F11" s="1440" t="s">
        <v>13</v>
      </c>
      <c r="I11" s="1442" t="s">
        <v>3341</v>
      </c>
    </row>
    <row r="12" spans="1:23">
      <c r="A12" s="1438" t="s">
        <v>1036</v>
      </c>
      <c r="B12" s="1438" t="s">
        <v>1037</v>
      </c>
      <c r="C12" s="1439" t="s">
        <v>323</v>
      </c>
      <c r="I12" s="1442" t="s">
        <v>3342</v>
      </c>
    </row>
    <row r="13" spans="1:23">
      <c r="A13" s="1438" t="s">
        <v>1038</v>
      </c>
      <c r="B13" s="1438" t="s">
        <v>1039</v>
      </c>
      <c r="C13" s="1439" t="s">
        <v>324</v>
      </c>
      <c r="I13" s="1442" t="s">
        <v>3343</v>
      </c>
    </row>
    <row r="14" spans="1:23">
      <c r="A14" s="1438" t="s">
        <v>1040</v>
      </c>
      <c r="B14" s="1438" t="s">
        <v>1041</v>
      </c>
      <c r="C14" s="1440" t="s">
        <v>13</v>
      </c>
      <c r="I14" s="1442" t="s">
        <v>3344</v>
      </c>
    </row>
    <row r="15" spans="1:23">
      <c r="A15" s="1438" t="s">
        <v>1042</v>
      </c>
      <c r="B15" s="1438" t="s">
        <v>1043</v>
      </c>
      <c r="C15" s="1439"/>
      <c r="I15" s="1442" t="s">
        <v>3345</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4" t="s">
        <v>385</v>
      </c>
      <c r="C54" s="1442" t="s">
        <v>583</v>
      </c>
    </row>
    <row r="55" spans="1:4">
      <c r="A55" s="3228"/>
      <c r="B55" s="1444" t="s">
        <v>386</v>
      </c>
      <c r="C55" s="1442" t="s">
        <v>584</v>
      </c>
    </row>
    <row r="56" spans="1:4">
      <c r="A56" s="3228"/>
      <c r="B56" s="1444" t="s">
        <v>387</v>
      </c>
      <c r="C56" s="1442" t="s">
        <v>588</v>
      </c>
    </row>
    <row r="57" spans="1:4">
      <c r="A57" s="322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29" t="s">
        <v>2576</v>
      </c>
      <c r="J2" s="3229"/>
      <c r="K2" s="3229"/>
      <c r="L2" s="3229"/>
      <c r="M2" s="3229"/>
      <c r="N2" s="3229"/>
      <c r="O2" s="3229"/>
      <c r="P2" s="3229"/>
      <c r="Q2" s="3229"/>
      <c r="R2" s="3229"/>
    </row>
    <row r="3" spans="1:18">
      <c r="A3" s="2759" t="s">
        <v>2497</v>
      </c>
      <c r="B3" s="2760">
        <f>项目基本情况!D3</f>
        <v>45762</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1.67</v>
      </c>
      <c r="D5" s="2764">
        <f>IF(ISERROR(ROUND(POWER(1+E5,A5-C5)*(POWER(1+E5,C5)-1)/(POWER(1+E5,A5)-1),3)),0,ROUND(POWER(1+E5,A5-C5)*(POWER(1+E5,C5)-1)/(POWER(1+E5,A5)-1),4))</f>
        <v>8.0100000000000005E-2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11.68</v>
      </c>
      <c r="D6" s="2764">
        <f>IF(ISERROR(ROUND(POWER(1+E6,A6-C6)*(POWER(1+E6,C6)-1)/(POWER(1+E6,A6)-1),3)),0,ROUND(POWER(1+E6,A6-C6)*(POWER(1+E6,C6)-1)/(POWER(1+E6,A6)-1),4))</f>
        <v>0.42770000000000002</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31.7</v>
      </c>
      <c r="D7" s="2764">
        <f>IF(ISERROR(ROUND(POWER(1+E7,A7-C7)*(POWER(1+E7,C7)-1)/(POWER(1+E7,A7)-1),3)),0,ROUND(POWER(1+E7,A7-C7)*(POWER(1+E7,C7)-1)/(POWER(1+E7,A7)-1),4))</f>
        <v>0.76039999999999996</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ROUND(POWER(1+D23,B23-C23)*(POWER(1+D23,C23)-1)/(POWER(1+D23,B23)-1),3)</f>
        <v>0.84599999999999997</v>
      </c>
      <c r="F23" s="2777">
        <f>F22</f>
        <v>0.7</v>
      </c>
      <c r="G23" s="2775">
        <f>ROUND(100*(1-(1-E23)*F23),1)</f>
        <v>89.2</v>
      </c>
      <c r="I23" s="2796">
        <v>15</v>
      </c>
      <c r="J23" s="2796">
        <v>74.099999999999994</v>
      </c>
      <c r="K23" s="2796">
        <f t="shared" ref="K23:K30" si="0">J23-J22</f>
        <v>8.6999999999999886</v>
      </c>
      <c r="L23" s="2796" t="s">
        <v>2563</v>
      </c>
      <c r="N23" s="3149" t="s">
        <v>2564</v>
      </c>
    </row>
    <row r="24" spans="1:14">
      <c r="A24" s="2773" t="s">
        <v>2524</v>
      </c>
      <c r="B24" s="2776">
        <v>70</v>
      </c>
      <c r="C24" s="2776">
        <v>50</v>
      </c>
      <c r="D24" s="2777">
        <v>0.04</v>
      </c>
      <c r="E24" s="2774">
        <f>ROUND(POWER(1+D24,B24-C24)*(POWER(1+D24,C24)-1)/(POWER(1+D24,B24)-1),3)</f>
        <v>0.91800000000000004</v>
      </c>
      <c r="F24" s="2777">
        <f>F23</f>
        <v>0.7</v>
      </c>
      <c r="G24" s="2775">
        <f>ROUND(100*(1-(1-E24)*F24),1)</f>
        <v>94.3</v>
      </c>
      <c r="I24" s="2796">
        <v>20</v>
      </c>
      <c r="J24" s="2796">
        <v>81</v>
      </c>
      <c r="K24" s="2796">
        <f t="shared" si="0"/>
        <v>6.9000000000000057</v>
      </c>
      <c r="L24" s="2796" t="s">
        <v>2562</v>
      </c>
      <c r="N24" s="3149">
        <v>10</v>
      </c>
    </row>
    <row r="25" spans="1:14">
      <c r="A25" s="2773" t="s">
        <v>2525</v>
      </c>
      <c r="B25" s="2776">
        <v>70</v>
      </c>
      <c r="C25" s="2776">
        <v>60</v>
      </c>
      <c r="D25" s="2777">
        <v>0.04</v>
      </c>
      <c r="E25" s="2774">
        <f>ROUND(POWER(1+D25,B25-C25)*(POWER(1+D25,C25)-1)/(POWER(1+D25,B25)-1),3)</f>
        <v>0.96699999999999997</v>
      </c>
      <c r="F25" s="2777">
        <f>F24</f>
        <v>0.7</v>
      </c>
      <c r="G25" s="2775">
        <f>ROUND(100*(1-(1-E25)*F25),1)</f>
        <v>97.7</v>
      </c>
      <c r="I25" s="2796">
        <v>25</v>
      </c>
      <c r="J25" s="2796">
        <v>86.3</v>
      </c>
      <c r="K25" s="2796">
        <f t="shared" si="0"/>
        <v>5.2999999999999972</v>
      </c>
      <c r="L25" s="2796" t="s">
        <v>2566</v>
      </c>
      <c r="N25" s="3149">
        <v>8</v>
      </c>
    </row>
    <row r="26" spans="1:14">
      <c r="A26" s="2778"/>
      <c r="B26" s="2779"/>
      <c r="C26" s="2779"/>
      <c r="D26" s="2779"/>
      <c r="E26" s="2779"/>
      <c r="F26" s="2779"/>
      <c r="G26" s="2780"/>
      <c r="I26" s="2796">
        <v>30</v>
      </c>
      <c r="J26" s="2796">
        <v>90.5</v>
      </c>
      <c r="K26" s="2796">
        <f t="shared" si="0"/>
        <v>4.2000000000000028</v>
      </c>
      <c r="L26" s="2796" t="s">
        <v>2567</v>
      </c>
      <c r="N26" s="3149">
        <v>5</v>
      </c>
    </row>
    <row r="27" spans="1:14">
      <c r="A27" s="2778" t="s">
        <v>2526</v>
      </c>
      <c r="B27" s="2779"/>
      <c r="C27" s="2779"/>
      <c r="D27" s="2779"/>
      <c r="E27" s="2779"/>
      <c r="F27" s="2779"/>
      <c r="G27" s="2780"/>
      <c r="I27" s="2796">
        <v>35</v>
      </c>
      <c r="J27" s="2796">
        <v>93.8</v>
      </c>
      <c r="K27" s="2796">
        <f t="shared" si="0"/>
        <v>3.2999999999999972</v>
      </c>
      <c r="L27" s="2796" t="s">
        <v>2568</v>
      </c>
      <c r="N27" s="3149">
        <v>3</v>
      </c>
    </row>
    <row r="28" spans="1:14">
      <c r="A28" s="2778" t="s">
        <v>2527</v>
      </c>
      <c r="B28" s="2779"/>
      <c r="C28" s="2779"/>
      <c r="D28" s="2779"/>
      <c r="E28" s="2779"/>
      <c r="F28" s="2779"/>
      <c r="G28" s="2780"/>
      <c r="I28" s="2796">
        <v>40</v>
      </c>
      <c r="J28" s="2796">
        <v>96.4</v>
      </c>
      <c r="K28" s="2796">
        <f t="shared" si="0"/>
        <v>2.6000000000000085</v>
      </c>
      <c r="L28" s="2796" t="s">
        <v>2569</v>
      </c>
      <c r="N28" s="3149">
        <v>2</v>
      </c>
    </row>
    <row r="29" spans="1:14">
      <c r="A29" s="2778" t="s">
        <v>2528</v>
      </c>
      <c r="B29" s="2779"/>
      <c r="C29" s="2779"/>
      <c r="D29" s="2779"/>
      <c r="E29" s="2779"/>
      <c r="F29" s="2779"/>
      <c r="G29" s="2780"/>
      <c r="I29" s="2796">
        <v>45</v>
      </c>
      <c r="J29" s="2796">
        <v>98.4</v>
      </c>
      <c r="K29" s="2796">
        <f t="shared" si="0"/>
        <v>2</v>
      </c>
    </row>
    <row r="30" spans="1:14">
      <c r="A30" s="2778" t="s">
        <v>2529</v>
      </c>
      <c r="B30" s="2779"/>
      <c r="C30" s="2779"/>
      <c r="D30" s="2779"/>
      <c r="E30" s="2779"/>
      <c r="F30" s="2779"/>
      <c r="G30" s="2780"/>
      <c r="I30" s="2796">
        <v>50</v>
      </c>
      <c r="J30" s="2796">
        <v>100</v>
      </c>
      <c r="K30" s="2796">
        <f t="shared" si="0"/>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1">J36-J35</f>
        <v>9.2999999999999972</v>
      </c>
      <c r="L36" s="2796" t="s">
        <v>2563</v>
      </c>
      <c r="N36" s="3149" t="s">
        <v>2564</v>
      </c>
    </row>
    <row r="37" spans="1:14">
      <c r="A37" s="2778" t="s">
        <v>2536</v>
      </c>
      <c r="B37" s="2779"/>
      <c r="C37" s="2779"/>
      <c r="D37" s="2779"/>
      <c r="E37" s="2779"/>
      <c r="F37" s="2779"/>
      <c r="G37" s="2780"/>
      <c r="I37" s="2796">
        <v>20</v>
      </c>
      <c r="J37" s="2796">
        <v>83.6</v>
      </c>
      <c r="K37" s="2796">
        <f t="shared" si="1"/>
        <v>7.2999999999999972</v>
      </c>
      <c r="L37" s="2796" t="s">
        <v>2562</v>
      </c>
      <c r="N37" s="3149">
        <v>10</v>
      </c>
    </row>
    <row r="38" spans="1:14">
      <c r="A38" s="2778" t="s">
        <v>2537</v>
      </c>
      <c r="B38" s="2779"/>
      <c r="C38" s="2779"/>
      <c r="D38" s="2779"/>
      <c r="E38" s="2779"/>
      <c r="F38" s="2779"/>
      <c r="G38" s="2780"/>
      <c r="I38" s="2796">
        <v>25</v>
      </c>
      <c r="J38" s="2796">
        <v>89.3</v>
      </c>
      <c r="K38" s="2796">
        <f t="shared" si="1"/>
        <v>5.7000000000000028</v>
      </c>
      <c r="L38" s="2796" t="s">
        <v>2566</v>
      </c>
      <c r="N38" s="3149">
        <v>8</v>
      </c>
    </row>
    <row r="39" spans="1:14">
      <c r="A39" s="2778"/>
      <c r="B39" s="2779"/>
      <c r="C39" s="2779"/>
      <c r="D39" s="2779"/>
      <c r="E39" s="2779"/>
      <c r="F39" s="2779"/>
      <c r="G39" s="2780"/>
      <c r="I39" s="2796">
        <v>30</v>
      </c>
      <c r="J39" s="2796">
        <v>93.8</v>
      </c>
      <c r="K39" s="2796">
        <f t="shared" si="1"/>
        <v>4.5</v>
      </c>
      <c r="L39" s="2796" t="s">
        <v>2567</v>
      </c>
      <c r="N39" s="3149">
        <v>6</v>
      </c>
    </row>
    <row r="40" spans="1:14">
      <c r="A40" s="2781" t="s">
        <v>2538</v>
      </c>
      <c r="B40" s="2782"/>
      <c r="C40" s="2782"/>
      <c r="D40" s="2782"/>
      <c r="E40" s="2782"/>
      <c r="F40" s="2782"/>
      <c r="G40" s="2783"/>
      <c r="I40" s="2796">
        <v>35</v>
      </c>
      <c r="J40" s="2796">
        <v>97.2</v>
      </c>
      <c r="K40" s="2796">
        <f t="shared" si="1"/>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1"/>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J46-J45</f>
        <v>5.0999999999999943</v>
      </c>
    </row>
    <row r="47" spans="1:14">
      <c r="I47" s="2796">
        <v>60</v>
      </c>
      <c r="J47" s="2796">
        <v>97.7</v>
      </c>
      <c r="K47" s="2796">
        <f>J47-J46</f>
        <v>3.4000000000000057</v>
      </c>
    </row>
    <row r="48" spans="1:14" ht="15" thickBot="1"/>
    <row r="49" spans="1:4">
      <c r="A49" s="2752" t="s">
        <v>3385</v>
      </c>
    </row>
    <row r="50" spans="1:4">
      <c r="A50" s="3141" t="s">
        <v>3386</v>
      </c>
      <c r="B50" s="3141" t="s">
        <v>3387</v>
      </c>
      <c r="C50" s="3141" t="s">
        <v>3388</v>
      </c>
      <c r="D50" s="3141" t="s">
        <v>3389</v>
      </c>
    </row>
    <row r="51" spans="1:4">
      <c r="A51" s="3141" t="s">
        <v>3390</v>
      </c>
      <c r="B51" s="2761">
        <f>B52+B53</f>
        <v>15000</v>
      </c>
      <c r="C51" s="3142">
        <f>D51/B51</f>
        <v>2666.6666666666665</v>
      </c>
      <c r="D51" s="2761">
        <f>D52+D53</f>
        <v>40000000</v>
      </c>
    </row>
    <row r="52" spans="1:4">
      <c r="A52" s="3143" t="s">
        <v>3391</v>
      </c>
      <c r="B52" s="3144">
        <v>10000</v>
      </c>
      <c r="C52" s="3144">
        <v>1500</v>
      </c>
      <c r="D52" s="3145">
        <f>C52*B52</f>
        <v>15000000</v>
      </c>
    </row>
    <row r="53" spans="1:4">
      <c r="A53" s="3143" t="s">
        <v>3392</v>
      </c>
      <c r="B53" s="3144">
        <v>5000</v>
      </c>
      <c r="C53" s="3144">
        <v>5000</v>
      </c>
      <c r="D53" s="3145">
        <f>C53*B53</f>
        <v>25000000</v>
      </c>
    </row>
    <row r="54" spans="1:4">
      <c r="A54" s="3141" t="s">
        <v>3393</v>
      </c>
      <c r="B54" s="2761">
        <f>B51</f>
        <v>15000</v>
      </c>
      <c r="C54" s="2767">
        <v>700</v>
      </c>
      <c r="D54" s="2761">
        <f>C54*B54</f>
        <v>10500000</v>
      </c>
    </row>
    <row r="55" spans="1:4">
      <c r="A55" s="3141" t="s">
        <v>3394</v>
      </c>
      <c r="B55" s="2761">
        <f>B51</f>
        <v>15000</v>
      </c>
      <c r="C55" s="2767">
        <v>1500</v>
      </c>
      <c r="D55" s="2761">
        <f>C55*B55</f>
        <v>22500000</v>
      </c>
    </row>
    <row r="56" spans="1:4">
      <c r="A56" s="3141" t="s">
        <v>3395</v>
      </c>
      <c r="B56" s="2761">
        <f>B51</f>
        <v>15000</v>
      </c>
      <c r="C56" s="3146">
        <f>C51+C54+C55</f>
        <v>4866.6666666666661</v>
      </c>
      <c r="D56" s="2761">
        <f>D51+D54+D55</f>
        <v>73000000</v>
      </c>
    </row>
    <row r="58" spans="1:4">
      <c r="A58" s="3141" t="s">
        <v>3396</v>
      </c>
      <c r="B58" s="3147">
        <v>0.05</v>
      </c>
      <c r="C58" s="2761">
        <f>C56*(1+B58)</f>
        <v>5110</v>
      </c>
      <c r="D58" s="2761">
        <f>D56*B58</f>
        <v>3650000</v>
      </c>
    </row>
    <row r="60" spans="1:4">
      <c r="A60" s="3141" t="s">
        <v>3397</v>
      </c>
      <c r="B60" s="2767">
        <v>3500</v>
      </c>
      <c r="C60" s="2767">
        <f>C53</f>
        <v>5000</v>
      </c>
      <c r="D60" s="2761">
        <f>C60*B60</f>
        <v>17500000</v>
      </c>
    </row>
    <row r="62" spans="1:4">
      <c r="A62" s="3141" t="s">
        <v>3398</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0" sqref="M1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0" t="str">
        <f>IF(B10="北京市","北京市",C10)&amp;F10&amp;IF(结果表!G1="在建","出让国有建设用地使用权及在建建筑物",IF(结果表!G1="土地","出让国有建设用地使用权",))&amp;B9&amp;"预评估"</f>
        <v>房地产抵押价值预评估</v>
      </c>
      <c r="C1" s="3231"/>
      <c r="D1" s="3231"/>
      <c r="E1" s="3231"/>
      <c r="F1" s="3231"/>
      <c r="G1" s="3231"/>
      <c r="H1" s="3231"/>
      <c r="I1" s="3232"/>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房地产抵押价值</v>
      </c>
      <c r="T1" s="1615"/>
      <c r="U1" s="1615"/>
      <c r="V1" s="1615"/>
      <c r="W1" s="1615"/>
      <c r="X1" s="1615"/>
      <c r="Y1" s="1615"/>
      <c r="Z1" s="1615"/>
      <c r="AA1" s="1615"/>
      <c r="AB1" s="1615"/>
    </row>
    <row r="2" spans="1:30">
      <c r="A2" s="2179" t="s">
        <v>2169</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房地产</v>
      </c>
      <c r="T2" s="1615"/>
      <c r="U2" s="1615"/>
      <c r="V2" s="1615"/>
      <c r="W2" s="1615"/>
      <c r="X2" s="1615"/>
      <c r="Y2" s="1615"/>
      <c r="Z2" s="1615"/>
      <c r="AA2" s="1615"/>
      <c r="AB2" s="1615"/>
    </row>
    <row r="3" spans="1:30">
      <c r="A3" s="292" t="s">
        <v>2170</v>
      </c>
      <c r="B3" s="2182">
        <v>45762</v>
      </c>
      <c r="C3" s="2183" t="s">
        <v>2171</v>
      </c>
      <c r="D3" s="2182">
        <v>45762</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3400</v>
      </c>
      <c r="C4" s="2185">
        <f ca="1">SUMIF(注册房地产估价师,B4,估价师及机构信息!B3:B24)</f>
        <v>1120070131</v>
      </c>
      <c r="D4" s="2184" t="s">
        <v>3401</v>
      </c>
      <c r="E4" s="2185">
        <f ca="1">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郑燚（注册号：1120070131)、崔锴（注册号：0)</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3402</v>
      </c>
      <c r="C8" s="2198"/>
      <c r="D8" s="3233" t="s">
        <v>2177</v>
      </c>
      <c r="E8" s="2199" t="s">
        <v>3403</v>
      </c>
      <c r="F8" s="2200"/>
      <c r="G8" s="2439"/>
      <c r="H8" s="2439"/>
      <c r="I8" s="2439"/>
      <c r="J8" s="2242"/>
      <c r="K8" s="2397"/>
      <c r="L8" s="2396"/>
      <c r="M8" s="2396"/>
      <c r="N8" s="2242"/>
      <c r="O8" s="1667"/>
      <c r="P8" s="2242"/>
      <c r="Q8" s="2242"/>
      <c r="R8" s="2242"/>
    </row>
    <row r="9" spans="1:30" ht="13.8" thickBot="1">
      <c r="A9" s="2201" t="s">
        <v>2178</v>
      </c>
      <c r="B9" s="2202" t="s">
        <v>3403</v>
      </c>
      <c r="C9" s="2203"/>
      <c r="D9" s="3234"/>
      <c r="E9" s="2202" t="s">
        <v>587</v>
      </c>
      <c r="F9" s="2204"/>
      <c r="G9" s="2440"/>
      <c r="H9" s="2440"/>
      <c r="I9" s="2440"/>
      <c r="J9" s="2242"/>
      <c r="K9" s="2399"/>
      <c r="L9" s="2396"/>
      <c r="M9" s="2396"/>
      <c r="N9" s="2242"/>
      <c r="O9" s="1667"/>
      <c r="P9" s="2242"/>
      <c r="Q9" s="2242"/>
      <c r="R9" s="2242"/>
    </row>
    <row r="10" spans="1:30" ht="13.8" thickTop="1">
      <c r="A10" s="2205" t="s">
        <v>2179</v>
      </c>
      <c r="B10" s="2206"/>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3404</v>
      </c>
      <c r="C11" s="2211"/>
      <c r="D11" s="2212"/>
      <c r="E11" s="2179"/>
      <c r="F11" s="2179"/>
      <c r="G11" s="2179"/>
      <c r="H11" s="2179"/>
      <c r="I11" s="2179"/>
      <c r="J11" s="2798"/>
      <c r="K11" s="2396"/>
      <c r="L11" s="2396"/>
      <c r="M11" s="2396"/>
      <c r="N11" s="2242"/>
      <c r="O11" s="1667"/>
      <c r="P11" s="2242"/>
      <c r="Q11" s="2242"/>
      <c r="R11" s="2242"/>
    </row>
    <row r="12" spans="1:30">
      <c r="A12" s="2213" t="s">
        <v>2182</v>
      </c>
      <c r="B12" s="313" t="s">
        <v>2183</v>
      </c>
      <c r="C12" s="2214" t="s">
        <v>2184</v>
      </c>
      <c r="D12" s="2214" t="s">
        <v>2185</v>
      </c>
      <c r="E12" s="2214" t="s">
        <v>2186</v>
      </c>
      <c r="F12" s="2214" t="s">
        <v>2187</v>
      </c>
      <c r="G12" s="2214" t="s">
        <v>2188</v>
      </c>
      <c r="H12" s="2214" t="s">
        <v>2189</v>
      </c>
      <c r="I12" s="2797" t="s">
        <v>2572</v>
      </c>
      <c r="J12" s="2799"/>
      <c r="K12" s="2396"/>
      <c r="L12" s="2396"/>
      <c r="M12" s="2242"/>
      <c r="N12" s="1667"/>
      <c r="O12" s="2242"/>
      <c r="P12" s="2242"/>
      <c r="Q12" s="2242"/>
      <c r="AD12" s="1615"/>
    </row>
    <row r="13" spans="1:30">
      <c r="A13" s="3118" t="s">
        <v>3328</v>
      </c>
      <c r="B13" s="2215" t="s">
        <v>2190</v>
      </c>
      <c r="C13" s="800"/>
      <c r="D13" s="3150">
        <v>51810</v>
      </c>
      <c r="E13" s="3150">
        <v>55462</v>
      </c>
      <c r="F13" s="3150">
        <v>55462</v>
      </c>
      <c r="G13" s="800"/>
      <c r="H13" s="800"/>
      <c r="I13" s="800"/>
      <c r="J13" s="2799"/>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0"/>
      <c r="K14" s="2396"/>
      <c r="L14" s="2396"/>
      <c r="M14" s="2242"/>
      <c r="N14" s="1667"/>
      <c r="O14" s="2242"/>
      <c r="P14" s="2242"/>
      <c r="Q14" s="2242"/>
      <c r="AD14" s="1615"/>
    </row>
    <row r="15" spans="1:30">
      <c r="A15" s="310"/>
      <c r="B15" s="2217" t="s">
        <v>2192</v>
      </c>
      <c r="C15" s="2218" t="str">
        <f>IF(A13="出让",IF(C13="","",ROUNDDOWN(MIN((C13-$D$3)/365,C14),2)),C14)</f>
        <v/>
      </c>
      <c r="D15" s="2218">
        <f>IF(A13="出让",IF(D13="","",ROUNDDOWN(MIN((D13-$D$3)/365,D14),2)),D14)</f>
        <v>16.559999999999999</v>
      </c>
      <c r="E15" s="2218">
        <f>IF(A13="出让",IF(E13="","",ROUNDDOWN(MIN((E13-$D$3)/365,E14),2)),E14)</f>
        <v>26.57</v>
      </c>
      <c r="F15" s="2218">
        <f>IF(A13="出让",IF(F13="","",ROUNDDOWN(MIN((F13-$D$3)/365,F14),2)),F14)</f>
        <v>26.57</v>
      </c>
      <c r="G15" s="2218" t="str">
        <f>IF(A13="出让",IF(G13="","",ROUNDDOWN(MIN((G13-$D$3)/365,G14),2)),G14)</f>
        <v/>
      </c>
      <c r="H15" s="2218" t="str">
        <f>IF(A13="出让",IF(H13="","",ROUNDDOWN(MIN((H13-$D$3)/365,H14),2)),H14)</f>
        <v/>
      </c>
      <c r="I15" s="2218" t="str">
        <f>IF(A13="出让",IF(I13="","",ROUNDDOWN(MIN((I13-$D$3)/365,I14),2)),I14)</f>
        <v/>
      </c>
      <c r="J15" s="2801"/>
      <c r="K15" s="1667"/>
      <c r="L15" s="1667"/>
      <c r="M15" s="2242"/>
      <c r="N15" s="1667"/>
      <c r="O15" s="2242"/>
      <c r="P15" s="2242"/>
      <c r="Q15" s="2242"/>
      <c r="AD15" s="1615"/>
    </row>
    <row r="16" spans="1:30">
      <c r="A16" s="2208" t="s">
        <v>2193</v>
      </c>
      <c r="B16" s="3240"/>
      <c r="C16" s="3241"/>
      <c r="D16" s="3242"/>
      <c r="E16" s="2219" t="s">
        <v>2194</v>
      </c>
      <c r="F16" s="3243"/>
      <c r="G16" s="3244"/>
      <c r="H16" s="3244"/>
      <c r="I16" s="3245"/>
      <c r="J16" s="2242"/>
      <c r="K16" s="2400"/>
      <c r="L16" s="1667"/>
      <c r="M16" s="1667"/>
      <c r="N16" s="2242"/>
      <c r="O16" s="1667"/>
      <c r="P16" s="2242"/>
      <c r="Q16" s="2242"/>
      <c r="R16" s="2242"/>
    </row>
    <row r="17" spans="1:28">
      <c r="A17" s="303" t="s">
        <v>2195</v>
      </c>
      <c r="B17" s="292" t="s">
        <v>2196</v>
      </c>
      <c r="C17" s="8">
        <f>'数据-汇总表'!E3</f>
        <v>21949.910000000098</v>
      </c>
      <c r="D17" s="1253" t="s">
        <v>2197</v>
      </c>
      <c r="E17" s="3246" t="s">
        <v>2198</v>
      </c>
      <c r="F17" s="3247"/>
      <c r="G17" s="3247"/>
      <c r="H17" s="3247"/>
      <c r="I17" s="3248"/>
      <c r="J17" s="2242"/>
      <c r="K17" s="2401"/>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9" t="s">
        <v>2202</v>
      </c>
      <c r="F18" s="3250"/>
      <c r="G18" s="3250"/>
      <c r="H18" s="3250"/>
      <c r="I18" s="3251"/>
      <c r="J18" s="2242"/>
      <c r="K18" s="2401"/>
      <c r="L18" s="1667"/>
      <c r="M18" s="1667"/>
      <c r="N18" s="2242"/>
      <c r="O18" s="1667"/>
      <c r="P18" s="2242"/>
      <c r="Q18" s="2242"/>
      <c r="R18" s="2242"/>
      <c r="S18" s="2242"/>
      <c r="T18" s="2242"/>
      <c r="U18" s="2242"/>
      <c r="V18" s="2242"/>
    </row>
    <row r="19" spans="1:28" ht="37.200000000000003" thickTop="1" thickBot="1">
      <c r="A19" s="317" t="s">
        <v>1055</v>
      </c>
      <c r="B19" s="297"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36" t="s">
        <v>2206</v>
      </c>
      <c r="C20" s="3237"/>
      <c r="D20" s="3238" t="s">
        <v>2207</v>
      </c>
      <c r="E20" s="3239"/>
      <c r="F20" s="2427" t="s">
        <v>1056</v>
      </c>
      <c r="G20" s="2439"/>
      <c r="H20" s="2439"/>
      <c r="I20" s="2439"/>
      <c r="J20" s="2242"/>
      <c r="K20" s="3235"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4"/>
      <c r="B21" s="2415" t="s">
        <v>2209</v>
      </c>
      <c r="C21" s="2293" t="s">
        <v>1057</v>
      </c>
      <c r="D21" s="1457" t="s">
        <v>2210</v>
      </c>
      <c r="E21" s="2416" t="s">
        <v>1057</v>
      </c>
      <c r="F21" s="2428"/>
      <c r="G21" s="2439"/>
      <c r="H21" s="2439"/>
      <c r="I21" s="2439"/>
      <c r="J21" s="2242"/>
      <c r="K21" s="323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4"/>
      <c r="B22" s="2417" t="s">
        <v>2211</v>
      </c>
      <c r="C22" s="2293" t="s">
        <v>1058</v>
      </c>
      <c r="D22" s="2439"/>
      <c r="E22" s="2439"/>
      <c r="F22" s="2439"/>
      <c r="G22" s="2439"/>
      <c r="H22" s="2439"/>
      <c r="I22" s="2439"/>
      <c r="J22" s="2242"/>
      <c r="K22" s="323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8" thickTop="1">
      <c r="A27" s="3253" t="s">
        <v>2214</v>
      </c>
      <c r="B27" s="310"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53"/>
      <c r="B28" s="292"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53"/>
      <c r="B29" s="292"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54"/>
      <c r="B30" s="292" t="s">
        <v>2218</v>
      </c>
      <c r="C30" s="3255"/>
      <c r="D30" s="3256"/>
      <c r="E30" s="2439"/>
      <c r="F30" s="2439"/>
      <c r="G30" s="2439"/>
      <c r="H30" s="2439"/>
      <c r="I30" s="2439"/>
      <c r="J30" s="2242"/>
      <c r="K30" s="2399"/>
      <c r="L30" s="2396"/>
      <c r="M30" s="2396"/>
      <c r="N30" s="2242"/>
      <c r="O30" s="1667"/>
      <c r="P30" s="2242"/>
      <c r="Q30" s="2242"/>
      <c r="R30" s="2242"/>
      <c r="S30" s="2242"/>
      <c r="T30" s="2242"/>
      <c r="U30" s="2242"/>
      <c r="V30" s="2242"/>
    </row>
    <row r="31" spans="1:28">
      <c r="A31" s="3257"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58"/>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58"/>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2220</v>
      </c>
      <c r="B34" s="1867"/>
      <c r="C34" s="1867"/>
      <c r="D34" s="1867"/>
      <c r="E34" s="1867"/>
      <c r="F34" s="1867"/>
      <c r="G34" s="1867"/>
      <c r="H34" s="1867"/>
      <c r="I34" s="2439"/>
      <c r="J34" s="2242"/>
      <c r="K34" s="8">
        <f>COUNTIF(B34:H34,"——")</f>
        <v>0</v>
      </c>
      <c r="L34" s="313" t="s">
        <v>2221</v>
      </c>
      <c r="M34" s="313" t="s">
        <v>2222</v>
      </c>
      <c r="N34" s="313" t="s">
        <v>2223</v>
      </c>
      <c r="O34" s="313" t="s">
        <v>2224</v>
      </c>
      <c r="P34" s="313" t="s">
        <v>2225</v>
      </c>
      <c r="Q34" s="313" t="s">
        <v>2226</v>
      </c>
      <c r="R34" s="313" t="s">
        <v>2227</v>
      </c>
      <c r="S34" s="3252" t="s">
        <v>2228</v>
      </c>
      <c r="T34" s="313" t="str">
        <f>NUMBERSTRING(7-K34,1)&amp;"通"</f>
        <v>七通</v>
      </c>
      <c r="U34" s="2242"/>
      <c r="V34" s="2242"/>
    </row>
    <row r="35" spans="1:30">
      <c r="A35" s="2233"/>
      <c r="B35" s="3252" t="s">
        <v>2229</v>
      </c>
      <c r="C35" s="3252"/>
      <c r="D35" s="3252"/>
      <c r="E35" s="3252"/>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52"/>
      <c r="T35" s="136" t="str">
        <f>IF(T34="一通",L35,IF(T34="二通",M35,IF(T34="三通",N35,IF(T34="四通",O35,IF(T34="五通",P35,IF(T34="六通",Q35,R35))))))</f>
        <v>、、、、、、</v>
      </c>
      <c r="U35" s="2242"/>
      <c r="V35" s="2242"/>
    </row>
    <row r="36" spans="1:30">
      <c r="A36" s="2180"/>
      <c r="B36" s="8" t="s">
        <v>2185</v>
      </c>
      <c r="C36" s="8" t="s">
        <v>2186</v>
      </c>
      <c r="D36" s="8" t="s">
        <v>2184</v>
      </c>
      <c r="E36" s="8" t="s">
        <v>2189</v>
      </c>
      <c r="F36" s="2797" t="s">
        <v>2575</v>
      </c>
      <c r="G36" s="2439"/>
      <c r="H36" s="2439"/>
      <c r="I36" s="2439"/>
      <c r="J36" s="2242"/>
      <c r="K36" s="2399"/>
      <c r="L36" s="2396"/>
      <c r="M36" s="2396"/>
      <c r="N36" s="2242"/>
      <c r="O36" s="1667"/>
      <c r="P36" s="2242"/>
      <c r="Q36" s="2242"/>
      <c r="R36" s="2242"/>
      <c r="S36" s="2242"/>
      <c r="T36" s="2242"/>
      <c r="U36" s="2242"/>
      <c r="V36" s="2242"/>
    </row>
    <row r="37" spans="1:30">
      <c r="A37" s="2412" t="s">
        <v>2230</v>
      </c>
      <c r="B37" s="2234" t="s">
        <v>144</v>
      </c>
      <c r="C37" s="2234" t="s">
        <v>144</v>
      </c>
      <c r="D37" s="2234"/>
      <c r="E37" s="2234"/>
      <c r="F37" s="2234"/>
      <c r="G37" s="2439"/>
      <c r="H37" s="2439"/>
      <c r="I37" s="2439"/>
      <c r="J37" s="2242"/>
      <c r="K37" s="2399"/>
      <c r="L37" s="2396"/>
      <c r="M37" s="2396"/>
      <c r="N37" s="2242"/>
      <c r="O37" s="1667"/>
      <c r="P37" s="2242"/>
      <c r="Q37" s="2242"/>
      <c r="R37" s="2242"/>
      <c r="S37" s="2242"/>
      <c r="T37" s="2242"/>
      <c r="U37" s="2242"/>
      <c r="V37" s="2242"/>
    </row>
    <row r="38" spans="1:30" ht="13.8" thickBot="1">
      <c r="A38" s="2413" t="s">
        <v>2231</v>
      </c>
      <c r="B38" s="2235" t="s">
        <v>145</v>
      </c>
      <c r="C38" s="2235" t="s">
        <v>145</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2">
      <c r="A42" s="313"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H54"/>
  <sheetViews>
    <sheetView workbookViewId="0">
      <pane xSplit="1" ySplit="1" topLeftCell="B35" activePane="bottomRight" state="frozen"/>
      <selection pane="topRight"/>
      <selection pane="bottomLeft"/>
      <selection pane="bottomRight" activeCell="O43" sqref="O43"/>
    </sheetView>
  </sheetViews>
  <sheetFormatPr defaultColWidth="9" defaultRowHeight="16.2"/>
  <cols>
    <col min="1" max="1" width="9" style="3153"/>
    <col min="2" max="2" width="12.21875" style="3158" customWidth="1"/>
    <col min="3" max="3" width="14.109375" style="3153" customWidth="1"/>
    <col min="4" max="4" width="10.88671875" style="3153" customWidth="1"/>
    <col min="5" max="6" width="11.6640625" style="3153" customWidth="1"/>
    <col min="7" max="16384" width="9" style="3153"/>
  </cols>
  <sheetData>
    <row r="2" spans="2:7">
      <c r="B2" s="3151" t="s">
        <v>3405</v>
      </c>
      <c r="C2" s="3151" t="s">
        <v>3406</v>
      </c>
      <c r="D2" s="3151" t="s">
        <v>3407</v>
      </c>
      <c r="E2" s="3151" t="s">
        <v>3408</v>
      </c>
      <c r="F2" s="3151" t="s">
        <v>3409</v>
      </c>
      <c r="G2" s="3152"/>
    </row>
    <row r="3" spans="2:7">
      <c r="B3" s="3154" t="s">
        <v>673</v>
      </c>
      <c r="C3" s="3154"/>
      <c r="D3" s="3154">
        <v>4129.8999999999996</v>
      </c>
      <c r="E3" s="3154">
        <v>13597.08</v>
      </c>
      <c r="F3" s="3154">
        <f t="shared" ref="F3:F8" si="0">SUM(C3:E3)</f>
        <v>17726.98</v>
      </c>
      <c r="G3" s="3152"/>
    </row>
    <row r="4" spans="2:7">
      <c r="B4" s="3154" t="s">
        <v>3410</v>
      </c>
      <c r="C4" s="3154"/>
      <c r="D4" s="3154"/>
      <c r="E4" s="3154"/>
      <c r="F4" s="3154">
        <f t="shared" si="0"/>
        <v>0</v>
      </c>
      <c r="G4" s="3152"/>
    </row>
    <row r="5" spans="2:7">
      <c r="B5" s="3154" t="s">
        <v>3411</v>
      </c>
      <c r="C5" s="3154">
        <v>5028.5</v>
      </c>
      <c r="D5" s="3154">
        <v>11475.050000000099</v>
      </c>
      <c r="E5" s="3154">
        <v>12474.6699999999</v>
      </c>
      <c r="F5" s="3154">
        <f t="shared" si="0"/>
        <v>28978.219999999998</v>
      </c>
      <c r="G5" s="3152"/>
    </row>
    <row r="6" spans="2:7">
      <c r="B6" s="3154" t="s">
        <v>21</v>
      </c>
      <c r="C6" s="3154"/>
      <c r="D6" s="3154"/>
      <c r="E6" s="3154"/>
      <c r="F6" s="3154">
        <f t="shared" si="0"/>
        <v>0</v>
      </c>
      <c r="G6" s="3152"/>
    </row>
    <row r="7" spans="2:7">
      <c r="B7" s="3154" t="s">
        <v>3412</v>
      </c>
      <c r="C7" s="3154"/>
      <c r="D7" s="3154"/>
      <c r="E7" s="3154"/>
      <c r="F7" s="3154">
        <f t="shared" si="0"/>
        <v>0</v>
      </c>
      <c r="G7" s="3152"/>
    </row>
    <row r="8" spans="2:7">
      <c r="B8" s="3154" t="s">
        <v>3413</v>
      </c>
      <c r="C8" s="3154">
        <v>1316.46</v>
      </c>
      <c r="D8" s="3154"/>
      <c r="E8" s="3154"/>
      <c r="F8" s="3154">
        <f t="shared" si="0"/>
        <v>1316.46</v>
      </c>
      <c r="G8" s="3152"/>
    </row>
    <row r="9" spans="2:7">
      <c r="B9" s="3154" t="s">
        <v>3409</v>
      </c>
      <c r="C9" s="3154">
        <f>SUM(C3:C8)</f>
        <v>6344.96</v>
      </c>
      <c r="D9" s="3154">
        <f>SUM(D3:D8)</f>
        <v>15604.950000000099</v>
      </c>
      <c r="E9" s="3154">
        <f>SUM(E3:E8)</f>
        <v>26071.749999999898</v>
      </c>
      <c r="F9" s="3154">
        <f>SUM(F3:F8)</f>
        <v>48021.659999999996</v>
      </c>
      <c r="G9" s="3152">
        <f>F9-F7-F4</f>
        <v>48021.659999999996</v>
      </c>
    </row>
    <row r="10" spans="2:7">
      <c r="B10" s="3152" t="s">
        <v>3414</v>
      </c>
      <c r="C10" s="3155">
        <v>79</v>
      </c>
      <c r="D10" s="3155">
        <v>232</v>
      </c>
      <c r="E10" s="3155">
        <v>292</v>
      </c>
      <c r="F10" s="3155">
        <f>SUM(C10:E10)</f>
        <v>603</v>
      </c>
      <c r="G10" s="3152"/>
    </row>
    <row r="11" spans="2:7">
      <c r="B11" s="3152"/>
      <c r="C11" s="3152"/>
      <c r="D11" s="3152"/>
      <c r="E11" s="3152"/>
      <c r="F11" s="3152"/>
      <c r="G11" s="3152"/>
    </row>
    <row r="12" spans="2:7">
      <c r="B12" s="3156"/>
      <c r="C12" s="3156"/>
      <c r="D12" s="3156"/>
      <c r="E12" s="3156"/>
      <c r="F12" s="3156"/>
    </row>
    <row r="13" spans="2:7">
      <c r="B13" s="3156"/>
      <c r="C13" s="3156"/>
      <c r="D13" s="3156"/>
      <c r="E13" s="3156"/>
      <c r="F13" s="3156"/>
    </row>
    <row r="14" spans="2:7">
      <c r="B14" s="3156" t="s">
        <v>673</v>
      </c>
      <c r="C14" s="3156" t="s">
        <v>3406</v>
      </c>
      <c r="D14" s="3156" t="s">
        <v>3407</v>
      </c>
      <c r="E14" s="3156" t="s">
        <v>3408</v>
      </c>
      <c r="F14" s="3156" t="s">
        <v>3409</v>
      </c>
    </row>
    <row r="15" spans="2:7">
      <c r="B15" s="3156" t="s">
        <v>3415</v>
      </c>
      <c r="C15" s="3156"/>
      <c r="D15" s="3156"/>
      <c r="E15" s="3156"/>
      <c r="F15" s="3156">
        <v>0</v>
      </c>
    </row>
    <row r="16" spans="2:7">
      <c r="B16" s="3156" t="s">
        <v>3416</v>
      </c>
      <c r="C16" s="3156"/>
      <c r="D16" s="3156"/>
      <c r="E16" s="3156"/>
      <c r="F16" s="3156">
        <v>0</v>
      </c>
    </row>
    <row r="17" spans="2:7">
      <c r="B17" s="3156" t="s">
        <v>3417</v>
      </c>
      <c r="C17" s="3156"/>
      <c r="D17" s="3156"/>
      <c r="E17" s="3156"/>
      <c r="F17" s="3156">
        <v>0</v>
      </c>
    </row>
    <row r="18" spans="2:7">
      <c r="B18" s="3156" t="s">
        <v>3418</v>
      </c>
      <c r="C18" s="3156"/>
      <c r="D18" s="3156"/>
      <c r="E18" s="3156"/>
      <c r="F18" s="3156">
        <v>0</v>
      </c>
    </row>
    <row r="19" spans="2:7">
      <c r="B19" s="3156" t="s">
        <v>3419</v>
      </c>
      <c r="C19" s="3156"/>
      <c r="D19" s="3156">
        <v>4129.8999999999996</v>
      </c>
      <c r="E19" s="3156">
        <v>13597.08</v>
      </c>
      <c r="F19" s="3156">
        <v>17726.98</v>
      </c>
    </row>
    <row r="20" spans="2:7">
      <c r="B20" s="3157" t="s">
        <v>3409</v>
      </c>
      <c r="C20" s="3156">
        <v>0</v>
      </c>
      <c r="D20" s="3156">
        <v>4129.8999999999996</v>
      </c>
      <c r="E20" s="3156">
        <v>13597.08</v>
      </c>
      <c r="F20" s="3156">
        <v>17726.98</v>
      </c>
    </row>
    <row r="23" spans="2:7" s="3159" customFormat="1" ht="14.4">
      <c r="B23" s="3159" t="s">
        <v>3420</v>
      </c>
    </row>
    <row r="24" spans="2:7" s="3159" customFormat="1" ht="14.4">
      <c r="B24" s="3160"/>
      <c r="C24" s="3161" t="s">
        <v>3421</v>
      </c>
      <c r="D24" s="3161" t="s">
        <v>3422</v>
      </c>
      <c r="E24" s="3161" t="s">
        <v>3409</v>
      </c>
      <c r="F24" s="3160"/>
      <c r="G24" s="3162" t="s">
        <v>3423</v>
      </c>
    </row>
    <row r="25" spans="2:7" s="3159" customFormat="1" ht="14.4">
      <c r="B25" s="3163" t="s">
        <v>3424</v>
      </c>
      <c r="C25" s="3164">
        <f>C26+C27</f>
        <v>149456.64000000001</v>
      </c>
      <c r="D25" s="3164">
        <f>E25/C25</f>
        <v>2874.9999999999995</v>
      </c>
      <c r="E25" s="3164">
        <f>E26+E27</f>
        <v>429687840</v>
      </c>
      <c r="F25" s="3160"/>
      <c r="G25" s="3165">
        <v>1</v>
      </c>
    </row>
    <row r="26" spans="2:7" s="3159" customFormat="1" ht="14.4">
      <c r="B26" s="3161" t="s">
        <v>3425</v>
      </c>
      <c r="C26" s="3166">
        <f>C27*2.2</f>
        <v>102751.44</v>
      </c>
      <c r="D26" s="3160">
        <v>2000</v>
      </c>
      <c r="E26" s="3160">
        <f>D26*C26</f>
        <v>205502880</v>
      </c>
      <c r="F26" s="3160"/>
      <c r="G26" s="3160"/>
    </row>
    <row r="27" spans="2:7" s="3159" customFormat="1" ht="14.4">
      <c r="B27" s="3161" t="s">
        <v>3426</v>
      </c>
      <c r="C27" s="3166">
        <f>C5+D5+E5+D3+E3</f>
        <v>46705.2</v>
      </c>
      <c r="D27" s="3160">
        <v>4800</v>
      </c>
      <c r="E27" s="3160">
        <f>D27*C27</f>
        <v>224184960</v>
      </c>
      <c r="F27" s="3160"/>
      <c r="G27" s="3160"/>
    </row>
    <row r="28" spans="2:7" s="3159" customFormat="1" ht="14.4">
      <c r="B28" s="3163" t="s">
        <v>3427</v>
      </c>
      <c r="C28" s="3164">
        <f>C25</f>
        <v>149456.64000000001</v>
      </c>
      <c r="D28" s="3164">
        <v>1000</v>
      </c>
      <c r="E28" s="3164">
        <f>D28*C28</f>
        <v>149456640</v>
      </c>
      <c r="F28" s="3160"/>
      <c r="G28" s="3165">
        <v>1</v>
      </c>
    </row>
    <row r="29" spans="2:7" s="3159" customFormat="1" ht="14.4">
      <c r="B29" s="3163" t="s">
        <v>3428</v>
      </c>
      <c r="C29" s="3164">
        <f>C25</f>
        <v>149456.64000000001</v>
      </c>
      <c r="D29" s="3164">
        <v>1500</v>
      </c>
      <c r="E29" s="3164">
        <f>D29*C29</f>
        <v>224184960.00000003</v>
      </c>
      <c r="F29" s="3160"/>
      <c r="G29" s="3165">
        <v>1</v>
      </c>
    </row>
    <row r="30" spans="2:7" s="3159" customFormat="1" ht="14.4">
      <c r="B30" s="3163" t="s">
        <v>3429</v>
      </c>
      <c r="C30" s="3164">
        <v>0</v>
      </c>
      <c r="D30" s="3164">
        <f>D27</f>
        <v>4800</v>
      </c>
      <c r="E30" s="3164">
        <f>D30*C30</f>
        <v>0</v>
      </c>
      <c r="F30" s="3160"/>
      <c r="G30" s="3160"/>
    </row>
    <row r="31" spans="2:7" s="3159" customFormat="1" ht="14.4">
      <c r="B31" s="3161" t="s">
        <v>3430</v>
      </c>
      <c r="C31" s="3160">
        <f>C25</f>
        <v>149456.64000000001</v>
      </c>
      <c r="D31" s="3160">
        <f>E31/C31</f>
        <v>5374.9999999999991</v>
      </c>
      <c r="E31" s="3160">
        <f>E25+E28+E29+E30</f>
        <v>803329440</v>
      </c>
      <c r="F31" s="3160"/>
      <c r="G31" s="3163">
        <f>(G25*E25+G28*E28+G29*E29)/E31</f>
        <v>1</v>
      </c>
    </row>
    <row r="32" spans="2:7" s="3159" customFormat="1" ht="14.4"/>
    <row r="33" spans="2:8" s="3159" customFormat="1" ht="14.4"/>
    <row r="34" spans="2:8" s="3159" customFormat="1" ht="14.4"/>
    <row r="35" spans="2:8" s="3159" customFormat="1" ht="14.4">
      <c r="B35" s="3159" t="s">
        <v>3431</v>
      </c>
    </row>
    <row r="36" spans="2:8" s="3159" customFormat="1" ht="14.4">
      <c r="B36" s="3160"/>
      <c r="C36" s="3161" t="s">
        <v>3432</v>
      </c>
      <c r="D36" s="3161"/>
      <c r="E36" s="3161" t="s">
        <v>3433</v>
      </c>
      <c r="F36" s="3161" t="s">
        <v>3434</v>
      </c>
      <c r="G36" s="3161" t="s">
        <v>3435</v>
      </c>
      <c r="H36" s="3162" t="s">
        <v>3431</v>
      </c>
    </row>
    <row r="37" spans="2:8" s="3159" customFormat="1" ht="14.4">
      <c r="B37" s="3163" t="s">
        <v>3436</v>
      </c>
      <c r="C37" s="3164">
        <v>2011</v>
      </c>
      <c r="D37" s="3164">
        <v>2025</v>
      </c>
      <c r="E37" s="3164">
        <v>50</v>
      </c>
      <c r="F37" s="3160">
        <v>60</v>
      </c>
      <c r="G37" s="3160">
        <v>0</v>
      </c>
      <c r="H37" s="3167">
        <f>ROUND((1-G37)-(D37-C37)/F37,2)</f>
        <v>0.77</v>
      </c>
    </row>
    <row r="38" spans="2:8" s="3159" customFormat="1" ht="14.4">
      <c r="B38" s="3161" t="s">
        <v>3437</v>
      </c>
      <c r="C38" s="3166"/>
      <c r="D38" s="3160"/>
      <c r="E38" s="3160"/>
      <c r="F38" s="3160"/>
      <c r="G38" s="3160"/>
      <c r="H38" s="3165">
        <v>0.8</v>
      </c>
    </row>
    <row r="39" spans="2:8" s="3159" customFormat="1" ht="14.4">
      <c r="B39" s="3161"/>
      <c r="C39" s="3160"/>
      <c r="D39" s="3160"/>
      <c r="E39" s="3160"/>
      <c r="F39" s="3160"/>
      <c r="G39" s="3160"/>
      <c r="H39" s="3168">
        <f>ROUND((H38+H37)/2,2)</f>
        <v>0.79</v>
      </c>
    </row>
    <row r="40" spans="2:8" s="3159" customFormat="1" ht="14.4"/>
    <row r="41" spans="2:8" s="3159" customFormat="1" ht="14.4"/>
    <row r="42" spans="2:8" s="3159" customFormat="1" ht="14.4"/>
    <row r="43" spans="2:8" s="3159" customFormat="1" ht="14.4"/>
    <row r="44" spans="2:8" s="3159" customFormat="1" ht="14.4"/>
    <row r="45" spans="2:8" s="3159" customFormat="1" ht="14.4">
      <c r="B45" s="3169"/>
      <c r="C45" s="3170"/>
      <c r="D45" s="3170" t="s">
        <v>3438</v>
      </c>
      <c r="E45" s="3171"/>
      <c r="F45" s="3171"/>
    </row>
    <row r="46" spans="2:8" s="3159" customFormat="1" ht="14.4">
      <c r="B46" s="3169" t="s">
        <v>3425</v>
      </c>
      <c r="C46" s="3172">
        <f>C8</f>
        <v>1316.46</v>
      </c>
      <c r="D46" s="3172">
        <f>C46</f>
        <v>1316.46</v>
      </c>
      <c r="E46" s="3172">
        <v>3</v>
      </c>
      <c r="F46" s="3173">
        <v>6</v>
      </c>
    </row>
    <row r="47" spans="2:8" s="3159" customFormat="1" ht="14.4">
      <c r="B47" s="3169"/>
      <c r="C47" s="3172">
        <f>'[1]数据-基础表'!I35</f>
        <v>0</v>
      </c>
      <c r="D47" s="3172">
        <f>D46</f>
        <v>1316.46</v>
      </c>
      <c r="E47" s="3172">
        <v>3</v>
      </c>
      <c r="F47" s="3174"/>
    </row>
    <row r="48" spans="2:8" s="3159" customFormat="1" ht="14.4">
      <c r="B48" s="3169"/>
      <c r="C48" s="3172"/>
      <c r="D48" s="3172"/>
      <c r="E48" s="3172"/>
      <c r="F48" s="3174"/>
    </row>
    <row r="49" spans="2:7" s="3159" customFormat="1" ht="14.4">
      <c r="B49" s="3169" t="s">
        <v>3426</v>
      </c>
      <c r="C49" s="3172">
        <f>D3</f>
        <v>4129.8999999999996</v>
      </c>
      <c r="D49" s="3172">
        <f>C49</f>
        <v>4129.8999999999996</v>
      </c>
      <c r="E49" s="3172">
        <v>4</v>
      </c>
      <c r="F49" s="3175">
        <v>8</v>
      </c>
    </row>
    <row r="50" spans="2:7" s="3159" customFormat="1" ht="14.4">
      <c r="B50" s="3169"/>
      <c r="C50" s="3172"/>
      <c r="D50" s="3172">
        <f>D48+D49</f>
        <v>4129.8999999999996</v>
      </c>
      <c r="E50" s="3172">
        <v>4</v>
      </c>
      <c r="F50" s="3171"/>
    </row>
    <row r="51" spans="2:7" s="3159" customFormat="1" ht="14.4">
      <c r="B51" s="3169"/>
      <c r="C51" s="3171"/>
      <c r="D51" s="3173"/>
      <c r="E51" s="3171"/>
      <c r="F51" s="3171"/>
    </row>
    <row r="52" spans="2:7" s="3159" customFormat="1" ht="14.4">
      <c r="B52" s="3169"/>
      <c r="C52" s="3179">
        <f>C46+C49</f>
        <v>5446.36</v>
      </c>
      <c r="D52" s="3173"/>
      <c r="E52" s="3173"/>
      <c r="F52" s="3172">
        <f>(C46*F46+C49*F49)/C52</f>
        <v>7.5165725365198046</v>
      </c>
      <c r="G52" s="3186"/>
    </row>
    <row r="53" spans="2:7" s="3159" customFormat="1" ht="14.4">
      <c r="B53" s="3169"/>
      <c r="C53" s="3171"/>
      <c r="D53" s="3173"/>
      <c r="E53" s="3173"/>
      <c r="F53" s="3173"/>
      <c r="G53" s="3187"/>
    </row>
    <row r="54" spans="2:7" s="3159" customFormat="1" ht="14.4">
      <c r="B54" s="3169"/>
      <c r="C54" s="3171"/>
      <c r="D54" s="3173"/>
      <c r="E54" s="3173"/>
      <c r="F54" s="3171"/>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hidden="1" customWidth="1"/>
    <col min="16" max="16" width="9.77734375" style="1460" hidden="1"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21949.910000000098</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21949.910000000098</v>
      </c>
      <c r="H5" s="13">
        <f t="shared" ref="H5:AT5" si="0">SUM(H13:H656)</f>
        <v>21949.910000000098</v>
      </c>
      <c r="I5" s="13">
        <f t="shared" si="0"/>
        <v>1316.46</v>
      </c>
      <c r="J5" s="13">
        <f t="shared" si="0"/>
        <v>0</v>
      </c>
      <c r="K5" s="13">
        <f t="shared" si="0"/>
        <v>4129.8999999999996</v>
      </c>
      <c r="L5" s="13">
        <f t="shared" si="0"/>
        <v>0</v>
      </c>
      <c r="M5" s="13">
        <f t="shared" si="0"/>
        <v>16503.550000000097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21949.910000000098</v>
      </c>
      <c r="BA5" s="15">
        <f t="shared" si="1"/>
        <v>21949.910000000098</v>
      </c>
      <c r="BB5" s="15">
        <f t="shared" si="1"/>
        <v>1316.46</v>
      </c>
      <c r="BC5" s="15">
        <f t="shared" si="1"/>
        <v>4129.8999999999996</v>
      </c>
      <c r="BD5" s="15">
        <f t="shared" si="1"/>
        <v>16503.550000000097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3425</v>
      </c>
      <c r="J9" s="758"/>
      <c r="K9" s="1488" t="s">
        <v>3426</v>
      </c>
      <c r="L9" s="758"/>
      <c r="M9" s="1488" t="s">
        <v>3426</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88" t="s">
        <v>673</v>
      </c>
      <c r="L10" s="758"/>
      <c r="M10" s="1494" t="s">
        <v>3329</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c r="C13" s="3176" t="str">
        <f>[1]面积清单!C2</f>
        <v>1号楼</v>
      </c>
      <c r="D13" s="1510" t="s">
        <v>3439</v>
      </c>
      <c r="E13" s="13">
        <f>IF($C$3="是",ROUND($A$3*G13/$B$3,2),ROUND($A$3*(G13-AT13)/$B$3,2))</f>
        <v>0</v>
      </c>
      <c r="F13" s="29"/>
      <c r="G13" s="30">
        <f>H13+AC13+AT13</f>
        <v>21949.910000000098</v>
      </c>
      <c r="H13" s="17">
        <f>SUMIF(I$12:AB$12,"总值",I13:AB13)</f>
        <v>21949.910000000098</v>
      </c>
      <c r="I13" s="1511">
        <f>面积清单!C8</f>
        <v>1316.46</v>
      </c>
      <c r="J13" s="1511"/>
      <c r="K13" s="1511">
        <f>面积清单!D3</f>
        <v>4129.8999999999996</v>
      </c>
      <c r="L13" s="1511"/>
      <c r="M13" s="1511">
        <f>面积清单!C5+面积清单!D5</f>
        <v>16503.550000000097</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1号楼</v>
      </c>
      <c r="AY13" s="1257">
        <f>ROUND($AY$6*AZ13/$AZ$5,2)</f>
        <v>0</v>
      </c>
      <c r="AZ13" s="13">
        <f>BA13+BL13</f>
        <v>21949.910000000098</v>
      </c>
      <c r="BA13" s="13">
        <f>SUM(BB13:BK13)</f>
        <v>21949.910000000098</v>
      </c>
      <c r="BB13" s="13">
        <f>IF($D13="是",I13-J13,0)</f>
        <v>1316.46</v>
      </c>
      <c r="BC13" s="13">
        <f>IF($D13="是",K13-L13,0)</f>
        <v>4129.8999999999996</v>
      </c>
      <c r="BD13" s="13">
        <f>IF($D13="是",M13-N13,0)</f>
        <v>16503.550000000097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c r="C14" s="3176" t="str">
        <f>[1]面积清单!D2</f>
        <v>2号楼</v>
      </c>
      <c r="D14" s="1510" t="s">
        <v>3439</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2号楼</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A4" zoomScale="70" zoomScaleNormal="100" zoomScaleSheetLayoutView="70" workbookViewId="0">
      <selection activeCell="V19" sqref="V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8" t="s">
        <v>1131</v>
      </c>
      <c r="B2" s="3268"/>
      <c r="C2" s="3268"/>
      <c r="D2" s="745" t="s">
        <v>1107</v>
      </c>
      <c r="E2" s="1520" t="s">
        <v>1108</v>
      </c>
      <c r="F2" s="2436"/>
      <c r="G2" s="2429"/>
      <c r="H2" s="2430"/>
      <c r="I2" s="2143" t="s">
        <v>1132</v>
      </c>
      <c r="J2" s="2436"/>
      <c r="K2" s="2436"/>
      <c r="L2" s="2436"/>
      <c r="M2" s="2436"/>
      <c r="N2" s="2437"/>
      <c r="O2" s="2436"/>
      <c r="P2" s="2436"/>
    </row>
    <row r="3" spans="1:16" ht="15" thickBot="1">
      <c r="A3" s="3269" t="s">
        <v>1105</v>
      </c>
      <c r="B3" s="3269"/>
      <c r="C3" s="3269"/>
      <c r="D3" s="41">
        <f>'数据-基础表'!AY6</f>
        <v>0</v>
      </c>
      <c r="E3" s="41">
        <f>'数据-基础表'!AZ5</f>
        <v>21949.910000000098</v>
      </c>
      <c r="F3" s="2436"/>
      <c r="G3" s="42"/>
      <c r="H3" s="43" t="s">
        <v>1106</v>
      </c>
      <c r="I3" s="799" t="e">
        <f>ROUND('数据-基础表'!B3/'数据-基础表'!A3,2)</f>
        <v>#DIV/0!</v>
      </c>
      <c r="J3" s="2436"/>
      <c r="K3" s="2436"/>
      <c r="L3" s="2436"/>
      <c r="M3" s="2436"/>
      <c r="N3" s="2437"/>
      <c r="O3" s="2436"/>
      <c r="P3" s="2436"/>
    </row>
    <row r="4" spans="1:16" ht="14.4">
      <c r="A4" s="3270"/>
      <c r="B4" s="3271"/>
      <c r="C4" s="3272"/>
      <c r="D4" s="1521" t="s">
        <v>1107</v>
      </c>
      <c r="E4" s="1522" t="s">
        <v>1108</v>
      </c>
      <c r="F4" s="2436"/>
      <c r="G4" s="2431" t="s">
        <v>1133</v>
      </c>
      <c r="H4" s="43" t="s">
        <v>1113</v>
      </c>
      <c r="I4" s="799" t="e">
        <f>ROUND(SUMIF('数据-基础表'!I9:AS9,"地上",'数据-基础表'!I5:AS5)/'数据-基础表'!A3,2)</f>
        <v>#DIV/0!</v>
      </c>
      <c r="J4" s="2436"/>
      <c r="K4" s="2436"/>
      <c r="L4" s="2436"/>
      <c r="M4" s="2436"/>
      <c r="N4" s="2437"/>
      <c r="O4" s="2436"/>
      <c r="P4" s="2436"/>
    </row>
    <row r="5" spans="1:16" ht="14.4">
      <c r="A5" s="42" t="s">
        <v>1109</v>
      </c>
      <c r="B5" s="3273" t="s">
        <v>1110</v>
      </c>
      <c r="C5" s="3273"/>
      <c r="D5" s="43">
        <f>ROUND($D$3*E5/$E$3,2)</f>
        <v>0</v>
      </c>
      <c r="E5" s="44">
        <f>SUMIF('数据-基础表'!$11:$11,"住宅",'数据-基础表'!$5:$5)</f>
        <v>0</v>
      </c>
      <c r="F5" s="2436"/>
      <c r="G5" s="42"/>
      <c r="H5" s="43" t="s">
        <v>1106</v>
      </c>
      <c r="I5" s="799" t="e">
        <f>ROUND(E31/D31,2)</f>
        <v>#DIV/0!</v>
      </c>
      <c r="J5" s="2436"/>
      <c r="K5" s="2436"/>
      <c r="L5" s="2436"/>
      <c r="M5" s="2436"/>
      <c r="N5" s="2436"/>
      <c r="O5" s="2436"/>
      <c r="P5" s="2436"/>
    </row>
    <row r="6" spans="1:16" ht="15" thickBot="1">
      <c r="A6" s="1524"/>
      <c r="B6" s="3273" t="s">
        <v>1111</v>
      </c>
      <c r="C6" s="3273"/>
      <c r="D6" s="43">
        <f>ROUND($D$3*E6/$E$3,2)</f>
        <v>0</v>
      </c>
      <c r="E6" s="44">
        <f>E3-E5</f>
        <v>21949.910000000098</v>
      </c>
      <c r="F6" s="2436"/>
      <c r="G6" s="1526" t="s">
        <v>1112</v>
      </c>
      <c r="H6" s="45" t="s">
        <v>1113</v>
      </c>
      <c r="I6" s="2432" t="e">
        <f>ROUND(F31/D31,2)</f>
        <v>#DIV/0!</v>
      </c>
      <c r="J6" s="2436"/>
      <c r="K6" s="2436"/>
      <c r="L6" s="2436"/>
      <c r="M6" s="2436"/>
      <c r="N6" s="2436"/>
      <c r="O6" s="2436"/>
      <c r="P6" s="2436"/>
    </row>
    <row r="7" spans="1:16" ht="15" thickBot="1">
      <c r="A7" s="3265"/>
      <c r="B7" s="3266"/>
      <c r="C7" s="3267"/>
      <c r="D7" s="1521" t="s">
        <v>1107</v>
      </c>
      <c r="E7" s="1525" t="s">
        <v>1114</v>
      </c>
      <c r="F7" s="2436"/>
      <c r="G7" s="2433" t="s">
        <v>1115</v>
      </c>
      <c r="H7" s="94"/>
      <c r="I7" s="2434">
        <v>3.5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1316.46</v>
      </c>
      <c r="F8" s="2436"/>
      <c r="G8" s="2436"/>
      <c r="H8" s="2436"/>
      <c r="I8" s="2436"/>
      <c r="J8" s="2436"/>
      <c r="K8" s="2436"/>
      <c r="L8" s="2436"/>
      <c r="M8" s="2436"/>
      <c r="N8" s="2436"/>
      <c r="O8" s="2436"/>
      <c r="P8" s="2436"/>
    </row>
    <row r="9" spans="1:16" ht="14.4">
      <c r="A9" s="1526"/>
      <c r="B9" s="1527"/>
      <c r="C9" s="43" t="s">
        <v>1119</v>
      </c>
      <c r="D9" s="43">
        <f t="shared" si="0"/>
        <v>0</v>
      </c>
      <c r="E9" s="47">
        <v>0</v>
      </c>
      <c r="F9" s="2436"/>
      <c r="G9" s="2436"/>
      <c r="H9" s="2436"/>
      <c r="I9" s="2436"/>
      <c r="J9" s="2436"/>
      <c r="K9" s="2436"/>
      <c r="L9" s="2436"/>
      <c r="M9" s="2436"/>
      <c r="N9" s="2436"/>
      <c r="O9" s="2436"/>
      <c r="P9" s="2436"/>
    </row>
    <row r="10" spans="1:16" ht="14.4">
      <c r="A10" s="1526"/>
      <c r="B10" s="1527"/>
      <c r="C10" s="43" t="s">
        <v>1128</v>
      </c>
      <c r="D10" s="43">
        <f t="shared" si="0"/>
        <v>0</v>
      </c>
      <c r="E10" s="46">
        <f>SUMPRODUCT(('数据-基础表'!BB10:BK10="地下")*('数据-基础表'!BB11:BK11="商业")*('数据-基础表'!BB5:BK5))</f>
        <v>4129.8999999999996</v>
      </c>
      <c r="F10" s="2436"/>
      <c r="G10" s="2436"/>
      <c r="H10" s="2436"/>
      <c r="I10" s="2436"/>
      <c r="J10" s="2436"/>
      <c r="K10" s="2436"/>
      <c r="L10" s="2436"/>
      <c r="M10" s="2436"/>
      <c r="N10" s="2436"/>
      <c r="O10" s="2436"/>
      <c r="P10" s="2436"/>
    </row>
    <row r="11" spans="1:16" ht="14.4">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6"/>
      <c r="B13" s="1527"/>
      <c r="C13" s="43" t="s">
        <v>1122</v>
      </c>
      <c r="D13" s="43">
        <f t="shared" si="0"/>
        <v>0</v>
      </c>
      <c r="E13" s="46">
        <f>SUMPRODUCT(('数据-基础表'!BB10:BK10="地下")*('数据-基础表'!BB11:BK11="车库")*('数据-基础表'!BB5:BK5))</f>
        <v>16503.550000000097</v>
      </c>
      <c r="F13" s="2436"/>
      <c r="G13" s="2436"/>
      <c r="H13" s="2436"/>
      <c r="I13" s="2436"/>
      <c r="J13" s="2436"/>
      <c r="K13" s="2436"/>
      <c r="L13" s="2436"/>
      <c r="M13" s="2436"/>
      <c r="N13" s="2436"/>
      <c r="O13" s="2436"/>
      <c r="P13" s="2436"/>
    </row>
    <row r="14" spans="1:16" ht="14.4">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4"/>
      <c r="B16" s="1527"/>
      <c r="C16" s="45" t="s">
        <v>1123</v>
      </c>
      <c r="D16" s="45">
        <f>SUM(D8:D15)</f>
        <v>0</v>
      </c>
      <c r="E16" s="48">
        <f>SUM(E8:E15)</f>
        <v>21949.910000000098</v>
      </c>
      <c r="F16" s="2436"/>
      <c r="G16" s="2436"/>
      <c r="H16" s="1528" t="s">
        <v>1135</v>
      </c>
      <c r="I16" s="1529"/>
      <c r="J16" s="1068"/>
      <c r="K16" s="3262" t="s">
        <v>1135</v>
      </c>
      <c r="L16" s="3263"/>
      <c r="M16" s="3263"/>
      <c r="N16" s="3263"/>
      <c r="O16" s="3263"/>
      <c r="P16" s="3264"/>
    </row>
    <row r="17" spans="1:19" ht="14.4">
      <c r="A17" s="1530" t="s">
        <v>1136</v>
      </c>
      <c r="B17" s="1531" t="s">
        <v>1137</v>
      </c>
      <c r="C17" s="1532" t="s">
        <v>1138</v>
      </c>
      <c r="D17" s="1533" t="s">
        <v>1126</v>
      </c>
      <c r="E17" s="1534" t="s">
        <v>1127</v>
      </c>
      <c r="F17" s="1535"/>
      <c r="G17" s="1536"/>
      <c r="H17" s="1537" t="s">
        <v>1139</v>
      </c>
      <c r="I17" s="1538" t="s">
        <v>1124</v>
      </c>
      <c r="J17" s="1068"/>
      <c r="K17" s="3259" t="s">
        <v>1140</v>
      </c>
      <c r="L17" s="3260"/>
      <c r="M17" s="3261"/>
      <c r="N17" s="3259" t="s">
        <v>1141</v>
      </c>
      <c r="O17" s="3260"/>
      <c r="P17" s="3261"/>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12" t="s">
        <v>673</v>
      </c>
      <c r="D19" s="43">
        <f>ROUND($D$3*E19/$E$3,2)</f>
        <v>0</v>
      </c>
      <c r="E19" s="51">
        <f t="shared" ref="E19:E26" si="1">SUM(F19:G19)</f>
        <v>5446.36</v>
      </c>
      <c r="F19" s="2554">
        <f>'数据-基础表'!I13</f>
        <v>1316.46</v>
      </c>
      <c r="G19" s="1240">
        <f>'数据-基础表'!K13</f>
        <v>4129.8999999999996</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5446.36</v>
      </c>
    </row>
    <row r="20" spans="1:19" ht="14.4">
      <c r="A20" s="1546"/>
      <c r="B20" s="45" t="s">
        <v>1153</v>
      </c>
      <c r="C20" s="3112" t="s">
        <v>3329</v>
      </c>
      <c r="D20" s="43">
        <f t="shared" ref="D20:D26" si="6">ROUND($D$3*E20/$E$3,2)</f>
        <v>0</v>
      </c>
      <c r="E20" s="51">
        <f t="shared" si="1"/>
        <v>16503.550000000097</v>
      </c>
      <c r="F20" s="2554"/>
      <c r="G20" s="1240">
        <f>'数据-基础表'!M13</f>
        <v>16503.550000000097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16503.550000000097</v>
      </c>
    </row>
    <row r="21" spans="1:19" ht="14.4">
      <c r="A21" s="1546"/>
      <c r="B21" s="45" t="s">
        <v>1153</v>
      </c>
      <c r="C21" s="3112"/>
      <c r="D21" s="43">
        <f t="shared" si="6"/>
        <v>0</v>
      </c>
      <c r="E21" s="51">
        <f t="shared" si="1"/>
        <v>0</v>
      </c>
      <c r="F21" s="2554"/>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3"/>
      <c r="D22" s="43">
        <f t="shared" si="6"/>
        <v>0</v>
      </c>
      <c r="E22" s="51">
        <f t="shared" si="1"/>
        <v>0</v>
      </c>
      <c r="F22" s="2555"/>
      <c r="G22" s="2556"/>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3"/>
      <c r="D23" s="43">
        <f>ROUND($D$3*E23/$E$3,2)</f>
        <v>0</v>
      </c>
      <c r="E23" s="51">
        <f>SUM(F23:G23)</f>
        <v>0</v>
      </c>
      <c r="F23" s="2555"/>
      <c r="G23" s="2556"/>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3"/>
      <c r="D24" s="43">
        <f>ROUND($D$3*E24/$E$3,2)</f>
        <v>0</v>
      </c>
      <c r="E24" s="51">
        <f>SUM(F24:G24)</f>
        <v>0</v>
      </c>
      <c r="F24" s="2555"/>
      <c r="G24" s="2556"/>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3"/>
      <c r="D25" s="43">
        <f t="shared" si="6"/>
        <v>0</v>
      </c>
      <c r="E25" s="51">
        <f t="shared" si="1"/>
        <v>0</v>
      </c>
      <c r="F25" s="2555"/>
      <c r="G25" s="2556"/>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5"/>
      <c r="G26" s="2556"/>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21949.910000000098</v>
      </c>
      <c r="F27" s="1069">
        <f>IF(SUM(F19:F26)=E8,SUM(F19:F26),"地上面积有误")</f>
        <v>1316.46</v>
      </c>
      <c r="G27" s="1071">
        <f>SUM(G19:G26)</f>
        <v>20633.450000000099</v>
      </c>
      <c r="H27" s="1072">
        <f>SUM(H19:H26)</f>
        <v>0</v>
      </c>
      <c r="I27" s="1073">
        <f>SUM(I19:I26)</f>
        <v>0</v>
      </c>
      <c r="J27" s="1068"/>
      <c r="K27" s="1074">
        <f t="shared" ref="K27:P27" si="10">SUM(K19:K26)</f>
        <v>0</v>
      </c>
      <c r="L27" s="782">
        <f t="shared" si="10"/>
        <v>0</v>
      </c>
      <c r="M27" s="1075">
        <f t="shared" si="10"/>
        <v>0</v>
      </c>
      <c r="N27" s="1074">
        <f t="shared" si="10"/>
        <v>0</v>
      </c>
      <c r="O27" s="782">
        <f t="shared" si="10"/>
        <v>0</v>
      </c>
      <c r="P27" s="93">
        <f t="shared" si="10"/>
        <v>0</v>
      </c>
      <c r="R27" s="965">
        <f>IF(SUM(R19:R26)=$D$3,SUM(R19:R26),SUM(R19:R26)&amp;"误差"&amp;ROUND(SUM(R19:R26)-$D$3,2))</f>
        <v>0</v>
      </c>
      <c r="S27" s="43">
        <f>IF(SUM(S19:S26)=$E$3,SUM(S19:S26),SUM(S19:S26)&amp;"误差"&amp;ROUND(SUM(S19:S26)-E3,2))</f>
        <v>21949.910000000098</v>
      </c>
    </row>
    <row r="28" spans="1:19" ht="14.4">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 thickBot="1">
      <c r="A31" s="1554"/>
      <c r="B31" s="95"/>
      <c r="C31" s="782" t="s">
        <v>1158</v>
      </c>
      <c r="D31" s="641">
        <f>D27+D30</f>
        <v>0</v>
      </c>
      <c r="E31" s="641">
        <f>E27+E30</f>
        <v>21949.910000000098</v>
      </c>
      <c r="F31" s="642">
        <f>F27+F30</f>
        <v>1316.46</v>
      </c>
      <c r="G31" s="643">
        <f>G27+G30</f>
        <v>20633.450000000099</v>
      </c>
      <c r="H31" s="2436"/>
      <c r="I31" s="2436"/>
      <c r="J31" s="2436"/>
      <c r="K31" s="2436"/>
      <c r="L31" s="2436"/>
      <c r="M31" s="2436"/>
      <c r="N31" s="2436"/>
      <c r="O31" s="2436"/>
      <c r="P31" s="2436"/>
    </row>
    <row r="32" spans="1:19" ht="14.4">
      <c r="A32" s="1523"/>
      <c r="B32" s="1523" t="s">
        <v>1159</v>
      </c>
      <c r="C32" s="1523"/>
      <c r="D32" s="1523"/>
      <c r="E32" s="987">
        <f>SUMIF(C19:C26,"*住宅*",E19:E26)</f>
        <v>0</v>
      </c>
      <c r="F32" s="1523"/>
      <c r="G32" s="1523"/>
      <c r="H32" s="2436"/>
      <c r="I32" s="2436"/>
      <c r="J32" s="2436"/>
      <c r="K32" s="2436"/>
      <c r="L32" s="2436"/>
      <c r="M32" s="2436"/>
      <c r="N32" s="2436"/>
      <c r="O32" s="2436"/>
      <c r="P32" s="2436"/>
    </row>
    <row r="33" spans="4:7">
      <c r="D33" s="1555"/>
    </row>
    <row r="37" spans="4:7">
      <c r="F37" s="1519">
        <f ca="1">结果表!G19-'数据-汇总表'!F39-'数据-汇总表'!F38</f>
        <v>3552.1414999999161</v>
      </c>
      <c r="G37" s="1519">
        <f ca="1">F37/F19</f>
        <v>2.6982525105205748</v>
      </c>
    </row>
    <row r="38" spans="4:7">
      <c r="F38" s="1519">
        <f>G38*G19</f>
        <v>9498.7699999999986</v>
      </c>
      <c r="G38" s="1519">
        <v>2.2999999999999998</v>
      </c>
    </row>
    <row r="39" spans="4:7">
      <c r="F39" s="1519">
        <f>G39*G20</f>
        <v>14358.088500000085</v>
      </c>
      <c r="G39" s="1519">
        <v>0.87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17" priority="1" stopIfTrue="1" operator="containsText" text="面积有误">
      <formula>NOT(ISERROR(SEARCH("面积有误",E27)))</formula>
    </cfRule>
    <cfRule type="cellIs" dxfId="116" priority="3" stopIfTrue="1" operator="equal">
      <formula>"地下面积有误"</formula>
    </cfRule>
  </conditionalFormatting>
  <conditionalFormatting sqref="F27">
    <cfRule type="cellIs" dxfId="11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9.66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 thickBot="1">
      <c r="A2" s="1559" t="s">
        <v>1161</v>
      </c>
      <c r="B2" s="981">
        <f>项目基本情况!D3</f>
        <v>45762</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3431</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商业</v>
      </c>
      <c r="B6" s="1584" t="str">
        <f>IF(A6=0,"","经营性")</f>
        <v>经营性</v>
      </c>
      <c r="C6" s="1585" t="s">
        <v>673</v>
      </c>
      <c r="D6" s="802">
        <f>SUMIF(项目基本情况!C$12:I$12,C6,项目基本情况!C$14:I$14)</f>
        <v>40</v>
      </c>
      <c r="E6" s="801">
        <f>IF(B6="","",SUMIF(项目基本情况!C$12:I$12,C6,项目基本情况!C$13:I$13))</f>
        <v>51810</v>
      </c>
      <c r="F6" s="61">
        <f>SUMIF(项目基本情况!C$12:I$12,C6,项目基本情况!C$15:I$15)</f>
        <v>16.559999999999999</v>
      </c>
      <c r="G6" s="62">
        <f t="shared" ref="G6:G13" si="0">IF(ISERROR(ROUND(POWER(1+H6,D6-F6)*(POWER(1+H6,F6)-1)/(POWER(1+H6,D6)-1),3)),0,ROUND(POWER(1+H6,D6-F6)*(POWER(1+H6,F6)-1)/(POWER(1+H6,D6)-1),3))</f>
        <v>0.64600000000000002</v>
      </c>
      <c r="H6" s="689">
        <v>0.05</v>
      </c>
      <c r="I6" s="689">
        <v>5.5E-2</v>
      </c>
      <c r="J6" s="63">
        <v>7.0000000000000007E-2</v>
      </c>
      <c r="K6" s="967">
        <f>SUMIF('数据-汇总表'!C$19:C$33,A6,'数据-汇总表'!E$19:E$33)</f>
        <v>5446.36</v>
      </c>
      <c r="L6" s="3177">
        <v>6000</v>
      </c>
      <c r="M6" s="64">
        <f t="shared" ref="M6:M14" si="1">ROUND(K6*L6/10000,0)</f>
        <v>3268</v>
      </c>
      <c r="N6" s="3182">
        <f>面积清单!H37</f>
        <v>0.77</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83">
        <v>7</v>
      </c>
      <c r="V6" s="67">
        <v>0.02</v>
      </c>
      <c r="W6" s="67">
        <v>0.15</v>
      </c>
      <c r="X6" s="976"/>
      <c r="Y6" s="68">
        <f>N6</f>
        <v>0.77</v>
      </c>
      <c r="Z6" s="69"/>
      <c r="AA6" s="63"/>
      <c r="AB6" s="63"/>
      <c r="AC6" s="976"/>
      <c r="AD6" s="70"/>
      <c r="AE6" s="977">
        <f ca="1">IF(AN6="",0,SUMIF(INDIRECT("'"&amp;AN6&amp;"'"&amp;"!E:E"),$AE$5,INDIRECT("'"&amp;AN6&amp;"'"&amp;"!F:F")))</f>
        <v>16.559999999999999</v>
      </c>
      <c r="AF6" s="74"/>
      <c r="AG6" s="128">
        <f>IF(AF6="",0,AE6-AF6)</f>
        <v>0</v>
      </c>
      <c r="AH6" s="71"/>
      <c r="AI6" s="73">
        <v>365</v>
      </c>
      <c r="AJ6" s="74"/>
      <c r="AK6" s="75">
        <v>5.0000000000000001E-3</v>
      </c>
      <c r="AL6" s="75">
        <v>1E-3</v>
      </c>
      <c r="AM6" s="75">
        <v>5.0000000000000001E-3</v>
      </c>
      <c r="AN6" s="1586" t="s">
        <v>3440</v>
      </c>
      <c r="AO6" s="50">
        <f ca="1">SUMIF(INDIRECT("'"&amp;AN6&amp;"'"&amp;"!A:A"),"总价",INDIRECT("'"&amp;AN6&amp;"'"&amp;"!B:B"))</f>
        <v>12371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车库</v>
      </c>
      <c r="B7" s="1584" t="str">
        <f t="shared" ref="B7:B13" si="2">IF(A7=0,"","经营性")</f>
        <v>经营性</v>
      </c>
      <c r="C7" s="1585" t="s">
        <v>3329</v>
      </c>
      <c r="D7" s="802">
        <f>SUMIF(项目基本情况!C$12:I$12,C7,项目基本情况!C$14:I$14)</f>
        <v>50</v>
      </c>
      <c r="E7" s="801">
        <f>IF(B7="","",SUMIF(项目基本情况!C$12:I$12,C7,项目基本情况!C$13:I$13))</f>
        <v>55462</v>
      </c>
      <c r="F7" s="61">
        <f>SUMIF(项目基本情况!C$12:I$12,C7,项目基本情况!C$15:I$15)</f>
        <v>26.57</v>
      </c>
      <c r="G7" s="62">
        <f t="shared" si="0"/>
        <v>0.77500000000000002</v>
      </c>
      <c r="H7" s="689">
        <v>4.4999999999999998E-2</v>
      </c>
      <c r="I7" s="689">
        <v>0.05</v>
      </c>
      <c r="J7" s="63">
        <v>7.0000000000000007E-2</v>
      </c>
      <c r="K7" s="967">
        <f>SUMIF('数据-汇总表'!C$19:C$33,A7,'数据-汇总表'!E$19:E$33)</f>
        <v>16503.550000000097</v>
      </c>
      <c r="L7" s="3177">
        <v>5500</v>
      </c>
      <c r="M7" s="64">
        <f t="shared" si="1"/>
        <v>9077</v>
      </c>
      <c r="N7" s="688">
        <f>N6</f>
        <v>0.77</v>
      </c>
      <c r="O7" s="64" t="str">
        <f t="shared" ref="O7:O14" si="3">IF($N$5="成新度","——",ROUND(M7*N7,0))</f>
        <v>——</v>
      </c>
      <c r="P7" s="65" t="str">
        <f t="shared" ref="P7:P14" si="4">IF($N$5="成新度","——",M7-O7)</f>
        <v>——</v>
      </c>
      <c r="Q7" s="690">
        <v>0.05</v>
      </c>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3">
        <v>1500</v>
      </c>
      <c r="V7" s="67">
        <f>V6</f>
        <v>0.02</v>
      </c>
      <c r="W7" s="67">
        <v>0.15</v>
      </c>
      <c r="X7" s="976"/>
      <c r="Y7" s="68">
        <f>N7</f>
        <v>0.77</v>
      </c>
      <c r="Z7" s="69"/>
      <c r="AA7" s="63"/>
      <c r="AB7" s="63"/>
      <c r="AC7" s="976"/>
      <c r="AD7" s="70"/>
      <c r="AE7" s="977">
        <f t="shared" ref="AE7:AE13" ca="1" si="6">IF(AN7="",0,SUMIF(INDIRECT("'"&amp;AN7&amp;"'"&amp;"!E:E"),$AE$5,INDIRECT("'"&amp;AN7&amp;"'"&amp;"!F:F")))</f>
        <v>26.57</v>
      </c>
      <c r="AF7" s="74"/>
      <c r="AG7" s="128">
        <f t="shared" ref="AG7:AG13" si="7">IF(AF7="",0,AE7-AF7)</f>
        <v>0</v>
      </c>
      <c r="AH7" s="71">
        <f>面积清单!C10+面积清单!D10</f>
        <v>311</v>
      </c>
      <c r="AI7" s="73">
        <v>12</v>
      </c>
      <c r="AJ7" s="74"/>
      <c r="AK7" s="75">
        <v>2E-3</v>
      </c>
      <c r="AL7" s="75">
        <v>1E-3</v>
      </c>
      <c r="AM7" s="75">
        <v>5.0000000000000001E-3</v>
      </c>
      <c r="AN7" s="1586" t="s">
        <v>3441</v>
      </c>
      <c r="AO7" s="50">
        <f t="shared" ref="AO7:AO13" ca="1" si="8">SUMIF(INDIRECT("'"&amp;AN7&amp;"'"&amp;"!A:A"),"总价",INDIRECT("'"&amp;AN7&amp;"'"&amp;"!B:B"))</f>
        <v>7158</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2"/>
        <v/>
      </c>
      <c r="C8" s="1585"/>
      <c r="D8" s="802">
        <f>SUMIF(项目基本情况!C$12:I$12,C8,项目基本情况!C$14:I$14)</f>
        <v>0</v>
      </c>
      <c r="E8" s="801" t="str">
        <f>IF(B8="","",SUMIF(项目基本情况!C$12:I$12,C8,项目基本情况!C$13:I$13))</f>
        <v/>
      </c>
      <c r="F8" s="61">
        <f>SUMIF(项目基本情况!C$12:I$12,C8,项目基本情况!C$15:I$15)</f>
        <v>0</v>
      </c>
      <c r="G8" s="62">
        <f t="shared" si="0"/>
        <v>0</v>
      </c>
      <c r="H8" s="689"/>
      <c r="I8" s="689"/>
      <c r="J8" s="63"/>
      <c r="K8" s="967">
        <f>SUMIF('数据-汇总表'!C$19:C$33,A8,'数据-汇总表'!E$19:E$33)</f>
        <v>0</v>
      </c>
      <c r="L8" s="3177"/>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4"/>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2"/>
        <v/>
      </c>
      <c r="C9" s="1585"/>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3177"/>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3"/>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2"/>
        <v/>
      </c>
      <c r="C10" s="1585"/>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3177"/>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3"/>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2"/>
        <v/>
      </c>
      <c r="C11" s="1585"/>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3178"/>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3"/>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2"/>
        <v/>
      </c>
      <c r="C12" s="1585"/>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3178"/>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3"/>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2"/>
        <v/>
      </c>
      <c r="C13" s="1585"/>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3178"/>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5"/>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3178">
        <f>L7</f>
        <v>5500</v>
      </c>
      <c r="M14" s="64">
        <f t="shared" si="1"/>
        <v>0</v>
      </c>
      <c r="N14" s="79">
        <f>N7</f>
        <v>0.77</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0"/>
      <c r="D16" s="1591"/>
      <c r="E16" s="81"/>
      <c r="F16" s="81"/>
      <c r="G16" s="82">
        <f>ROUND(SUMPRODUCT(G6:G13,K6:K13)/SUMPRODUCT((G6:G13&gt;0)*(K6:K13)),3)</f>
        <v>0.74299999999999999</v>
      </c>
      <c r="H16" s="83">
        <f>ROUND(SUMPRODUCT(H6:H13,K6:K13)/SUMPRODUCT((H6:H13&gt;0)*(K6:K13)),3)</f>
        <v>4.5999999999999999E-2</v>
      </c>
      <c r="I16" s="84"/>
      <c r="J16" s="84"/>
      <c r="K16" s="85">
        <f>SUM(K6:K15)</f>
        <v>21949.910000000098</v>
      </c>
      <c r="L16" s="86">
        <f>ROUND(M16*10000/SUM(K6:K14),0)</f>
        <v>5624</v>
      </c>
      <c r="M16" s="86">
        <f>SUM(M6:M14)</f>
        <v>12345</v>
      </c>
      <c r="N16" s="87">
        <f>ROUND(SUMPRODUCT(M6:M14,N6:N14)/M16,3)</f>
        <v>0.77</v>
      </c>
      <c r="O16" s="86">
        <f>SUM(O6:O14)</f>
        <v>0</v>
      </c>
      <c r="P16" s="86">
        <f>SUM(P6:P14)</f>
        <v>0</v>
      </c>
      <c r="Q16" s="88">
        <f>ROUND(SUMPRODUCT(Q6:Q13,K6:K13)/SUMPRODUCT((Q6:Q13&gt;0)*(K6:K13)),2)</f>
        <v>0.09</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3" t="s">
        <v>1211</v>
      </c>
      <c r="B19" s="96">
        <v>0</v>
      </c>
      <c r="C19" s="2557" t="s">
        <v>2298</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4" t="s">
        <v>1212</v>
      </c>
      <c r="B20" s="97">
        <v>2.5</v>
      </c>
      <c r="C20" s="2558" t="s">
        <v>2296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5" t="s">
        <v>1213</v>
      </c>
      <c r="B21" s="97">
        <f>B20</f>
        <v>2.5</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4" t="s">
        <v>1214</v>
      </c>
      <c r="B22" s="98">
        <f>B19+B20</f>
        <v>2.5</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5" t="s">
        <v>1215</v>
      </c>
      <c r="B23" s="98">
        <f>B19+B21</f>
        <v>2.5</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8" t="s">
        <v>1220</v>
      </c>
      <c r="B27" s="100">
        <v>160</v>
      </c>
      <c r="C27" s="2559" t="s">
        <v>2300</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0" t="s">
        <v>1222</v>
      </c>
      <c r="B29" s="3184">
        <f>ROUND(B28*K16/10000,0)</f>
        <v>439</v>
      </c>
      <c r="C29" s="2560" t="s">
        <v>2290</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1" t="s">
        <v>1223</v>
      </c>
      <c r="B30" s="636">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2" t="s">
        <v>1225</v>
      </c>
      <c r="B32" s="637"/>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8" t="s">
        <v>1226</v>
      </c>
      <c r="B33" s="638">
        <v>0.05</v>
      </c>
      <c r="C33" s="2561" t="s">
        <v>3381</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599" t="s">
        <v>1227</v>
      </c>
      <c r="B34" s="104">
        <v>0</v>
      </c>
      <c r="C34" s="2561" t="s">
        <v>2291</v>
      </c>
      <c r="D34" s="2457" t="s">
        <v>2297</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599" t="s">
        <v>1228</v>
      </c>
      <c r="B35" s="102">
        <f>B30</f>
        <v>200</v>
      </c>
      <c r="C35" s="2561" t="s">
        <v>2292</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5">
        <v>0.02</v>
      </c>
      <c r="C36" s="2561" t="s">
        <v>3399</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1" t="s">
        <v>1230</v>
      </c>
      <c r="B37" s="106">
        <v>0.03</v>
      </c>
      <c r="C37" s="2561" t="s">
        <v>3382</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599" t="s">
        <v>1231</v>
      </c>
      <c r="B38" s="104">
        <v>0.02</v>
      </c>
      <c r="C38" s="2561" t="s">
        <v>3383</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2" t="s">
        <v>1232</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0" t="s">
        <v>2306</v>
      </c>
      <c r="B40" s="1012">
        <f ca="1">IF(A40="利息：取LPR",存贷款利率!G1,存贷款利率!G1+C40)</f>
        <v>3.1E-2</v>
      </c>
      <c r="C40" s="2569">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8" t="s">
        <v>1233</v>
      </c>
      <c r="B41" s="107">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3" t="s">
        <v>1234</v>
      </c>
      <c r="B42" s="108">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3" t="s">
        <v>1235</v>
      </c>
      <c r="B43" s="109">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4" t="s">
        <v>1236</v>
      </c>
      <c r="B44" s="110">
        <v>7.0000000000000007E-2</v>
      </c>
      <c r="C44" s="2561" t="s">
        <v>3384</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4" t="s">
        <v>1237</v>
      </c>
      <c r="B45" s="108">
        <v>0.03</v>
      </c>
      <c r="C45" s="2560" t="s">
        <v>2293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4" t="s">
        <v>1238</v>
      </c>
      <c r="B46" s="108">
        <v>0.02</v>
      </c>
      <c r="C46" s="2560" t="s">
        <v>2294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1">
        <v>0</v>
      </c>
      <c r="C47" s="2563" t="s">
        <v>2301</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6" t="s">
        <v>1240</v>
      </c>
      <c r="B48" s="112">
        <v>0.03</v>
      </c>
      <c r="C48" s="2560" t="s">
        <v>2293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8">
        <v>5.0000000000000001E-4</v>
      </c>
      <c r="C49" s="2560" t="s">
        <v>2295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7" t="s">
        <v>1242</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7" t="s">
        <v>1244</v>
      </c>
      <c r="B52" s="115">
        <f>SUMIF(A54:A63,B53,B54:B63)</f>
        <v>30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599" t="s">
        <v>1245</v>
      </c>
      <c r="B53" s="1608" t="s">
        <v>144</v>
      </c>
      <c r="C53" s="2437" t="s">
        <v>1246</v>
      </c>
      <c r="D53" s="2562" t="s">
        <v>2299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09"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09"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09"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1" sqref="L11"/>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48" customWidth="1"/>
    <col min="19" max="29" width="9" style="748"/>
    <col min="30" max="16384" width="9" style="1519"/>
  </cols>
  <sheetData>
    <row r="1" spans="1:29" s="2256" customFormat="1" ht="18" thickBot="1">
      <c r="A1" s="3274" t="s">
        <v>2282</v>
      </c>
      <c r="B1" s="3275"/>
      <c r="C1" s="3275"/>
      <c r="D1" s="3275"/>
      <c r="E1" s="3275"/>
      <c r="F1" s="3275"/>
      <c r="G1" s="327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2"/>
      <c r="E2" s="2257"/>
      <c r="F2" s="2260"/>
      <c r="G2" s="2259" t="s">
        <v>2279</v>
      </c>
      <c r="H2" s="748"/>
      <c r="I2" s="748"/>
      <c r="J2" s="748"/>
      <c r="K2" s="748"/>
      <c r="L2" s="748"/>
      <c r="M2" s="748"/>
      <c r="N2" s="748"/>
      <c r="O2" s="748"/>
      <c r="P2" s="748"/>
      <c r="Q2" s="748"/>
    </row>
    <row r="3" spans="1:29" ht="39.6">
      <c r="A3" s="2244" t="s">
        <v>2280</v>
      </c>
      <c r="B3" s="2261" t="s">
        <v>2252</v>
      </c>
      <c r="C3" s="2262"/>
      <c r="D3" s="2263"/>
      <c r="E3" s="2245" t="s">
        <v>2280</v>
      </c>
      <c r="F3" s="2264" t="s">
        <v>2253</v>
      </c>
      <c r="G3" s="2265" t="s">
        <v>2281</v>
      </c>
      <c r="H3" s="748"/>
      <c r="I3" s="748"/>
      <c r="J3" s="748"/>
      <c r="K3" s="748"/>
      <c r="L3" s="748"/>
      <c r="M3" s="748"/>
      <c r="N3" s="748"/>
      <c r="O3" s="748"/>
      <c r="P3" s="748"/>
      <c r="Q3" s="748"/>
    </row>
    <row r="4" spans="1:29" ht="36">
      <c r="A4" s="2245"/>
      <c r="B4" s="313" t="s">
        <v>2254</v>
      </c>
      <c r="C4" s="3180" t="s">
        <v>3465</v>
      </c>
      <c r="D4" s="2263"/>
      <c r="E4" s="2267"/>
      <c r="F4" s="1278" t="s">
        <v>2255</v>
      </c>
      <c r="G4" s="2268" t="s">
        <v>2256</v>
      </c>
      <c r="H4" s="748"/>
      <c r="I4" s="748"/>
      <c r="J4" s="748"/>
      <c r="K4" s="748"/>
      <c r="L4" s="748"/>
      <c r="M4" s="748"/>
      <c r="N4" s="748"/>
      <c r="O4" s="748"/>
      <c r="P4" s="748"/>
      <c r="Q4" s="748"/>
    </row>
    <row r="5" spans="1:29" ht="24">
      <c r="A5" s="2245"/>
      <c r="B5" s="313" t="s">
        <v>2257</v>
      </c>
      <c r="C5" s="2266"/>
      <c r="D5" s="2263"/>
      <c r="E5" s="2267"/>
      <c r="F5" s="313" t="s">
        <v>2258</v>
      </c>
      <c r="G5" s="2268" t="s">
        <v>2259</v>
      </c>
      <c r="H5" s="748"/>
      <c r="I5" s="748"/>
      <c r="J5" s="748"/>
      <c r="K5" s="748"/>
      <c r="L5" s="748"/>
      <c r="M5" s="748"/>
      <c r="N5" s="748"/>
      <c r="O5" s="748"/>
      <c r="P5" s="748"/>
      <c r="Q5" s="748"/>
    </row>
    <row r="6" spans="1:29" ht="48">
      <c r="A6" s="2245"/>
      <c r="B6" s="313" t="s">
        <v>2260</v>
      </c>
      <c r="C6" s="2268" t="s">
        <v>3466</v>
      </c>
      <c r="D6" s="2263"/>
      <c r="E6" s="2267"/>
      <c r="F6" s="313" t="s">
        <v>2261</v>
      </c>
      <c r="G6" s="2268" t="s">
        <v>2262</v>
      </c>
      <c r="H6" s="748"/>
      <c r="I6" s="748"/>
      <c r="J6" s="748"/>
      <c r="K6" s="748"/>
      <c r="L6" s="748"/>
      <c r="M6" s="748"/>
      <c r="N6" s="748"/>
      <c r="O6" s="748"/>
      <c r="P6" s="748"/>
      <c r="Q6" s="748"/>
    </row>
    <row r="7" spans="1:29" ht="36.6" thickBot="1">
      <c r="A7" s="2245"/>
      <c r="B7" s="313" t="s">
        <v>2258</v>
      </c>
      <c r="C7" s="3181" t="s">
        <v>3467</v>
      </c>
      <c r="D7" s="2242"/>
      <c r="E7" s="2269"/>
      <c r="F7" s="2270" t="s">
        <v>2263</v>
      </c>
      <c r="G7" s="2271" t="s">
        <v>2264</v>
      </c>
      <c r="H7" s="748"/>
      <c r="I7" s="748"/>
      <c r="J7" s="748"/>
      <c r="K7" s="748"/>
      <c r="L7" s="748"/>
      <c r="M7" s="748"/>
      <c r="N7" s="748"/>
      <c r="O7" s="748"/>
      <c r="P7" s="748"/>
      <c r="Q7" s="748"/>
    </row>
    <row r="8" spans="1:29" ht="24">
      <c r="A8" s="2245"/>
      <c r="B8" s="313" t="s">
        <v>2261</v>
      </c>
      <c r="C8" s="2268" t="s">
        <v>3468</v>
      </c>
      <c r="D8" s="2242"/>
      <c r="E8" s="2242"/>
      <c r="F8" s="119"/>
      <c r="G8" s="119"/>
      <c r="H8" s="748"/>
      <c r="I8" s="748"/>
      <c r="J8" s="748"/>
      <c r="K8" s="748"/>
      <c r="L8" s="748"/>
      <c r="M8" s="748"/>
      <c r="N8" s="748"/>
      <c r="O8" s="748"/>
      <c r="P8" s="748"/>
      <c r="Q8" s="748"/>
    </row>
    <row r="9" spans="1:29" ht="24">
      <c r="A9" s="2245"/>
      <c r="B9" s="313" t="s">
        <v>2265</v>
      </c>
      <c r="C9" s="3180" t="s">
        <v>3469</v>
      </c>
      <c r="D9" s="2263"/>
      <c r="E9" s="2242"/>
      <c r="F9" s="119"/>
      <c r="G9" s="119"/>
      <c r="H9" s="748"/>
      <c r="I9" s="748"/>
      <c r="J9" s="748"/>
      <c r="K9" s="748"/>
      <c r="L9" s="748"/>
      <c r="M9" s="748"/>
      <c r="N9" s="748"/>
      <c r="O9" s="748"/>
      <c r="P9" s="748"/>
      <c r="Q9" s="748"/>
    </row>
    <row r="10" spans="1:29" ht="14.4" thickBot="1">
      <c r="A10" s="2246"/>
      <c r="B10" s="2272" t="s">
        <v>2266</v>
      </c>
      <c r="C10" s="2273" t="s">
        <v>3470</v>
      </c>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2283</v>
      </c>
      <c r="B13" s="2277"/>
      <c r="C13" s="2277"/>
      <c r="D13" s="2276"/>
      <c r="E13" s="2277"/>
      <c r="F13" s="2277"/>
      <c r="G13" s="2277"/>
    </row>
    <row r="14" spans="1:29" ht="14.4" thickBot="1">
      <c r="A14" s="2282"/>
      <c r="B14" s="2282"/>
      <c r="C14" s="2283" t="s">
        <v>2267</v>
      </c>
      <c r="D14" s="2263"/>
      <c r="E14" s="2284"/>
      <c r="F14" s="2284"/>
      <c r="G14" s="2259" t="s">
        <v>2268</v>
      </c>
    </row>
    <row r="15" spans="1:29" ht="39.6">
      <c r="A15" s="2247" t="s">
        <v>2269</v>
      </c>
      <c r="B15" s="2285" t="s">
        <v>2252</v>
      </c>
      <c r="C15" s="2286">
        <f>C3</f>
        <v>0</v>
      </c>
      <c r="D15" s="2263"/>
      <c r="E15" s="2248" t="s">
        <v>2270</v>
      </c>
      <c r="F15" s="2285" t="s">
        <v>2271</v>
      </c>
      <c r="G15" s="2287" t="str">
        <f>G3</f>
        <v>估价对象位于XX开发区，园区建设成熟度XX，产业集聚程度XX</v>
      </c>
    </row>
    <row r="16" spans="1:29" ht="39.6">
      <c r="A16" s="2249"/>
      <c r="B16" s="2288" t="s">
        <v>2254</v>
      </c>
      <c r="C16" s="2289" t="str">
        <f>C4</f>
        <v>估价对象位于朝阳门商圈，周边商业氛围成熟，人流量大，商业繁华度较好</v>
      </c>
      <c r="D16" s="2263"/>
      <c r="E16" s="2250"/>
      <c r="F16" s="2290" t="s">
        <v>2255</v>
      </c>
      <c r="G16" s="2291" t="str">
        <f>G4</f>
        <v>估价对象周边道路状况、公共交通通达情况、停车便捷程度，综合评价交通便捷度较好</v>
      </c>
    </row>
    <row r="17" spans="1:17">
      <c r="A17" s="2249"/>
      <c r="B17" s="2288" t="s">
        <v>2257</v>
      </c>
      <c r="C17" s="2289">
        <f>C5</f>
        <v>0</v>
      </c>
      <c r="D17" s="2242"/>
      <c r="E17" s="2250"/>
      <c r="F17" s="2290" t="s">
        <v>2272</v>
      </c>
      <c r="G17" s="2292"/>
    </row>
    <row r="18" spans="1:17" ht="52.8">
      <c r="A18" s="2249"/>
      <c r="B18" s="2290" t="s">
        <v>2260</v>
      </c>
      <c r="C18" s="2291" t="str">
        <f>C6</f>
        <v>估价对象周边道路状况、公共交通通达情况、停车便捷程度，综合评价交通便捷度较好</v>
      </c>
      <c r="D18" s="2242"/>
      <c r="E18" s="2250"/>
      <c r="F18" s="2290" t="s">
        <v>2263</v>
      </c>
      <c r="G18" s="2291" t="str">
        <f>G7</f>
        <v>该园区内是否有污染型企业，绿化情况，卫生条件，整体环境状况判断</v>
      </c>
    </row>
    <row r="19" spans="1:17" ht="26.4">
      <c r="A19" s="2249"/>
      <c r="B19" s="2290" t="s">
        <v>2273</v>
      </c>
      <c r="C19" s="2292"/>
      <c r="D19" s="2263"/>
      <c r="E19" s="2250"/>
      <c r="F19" s="313" t="s">
        <v>2258</v>
      </c>
      <c r="G19" s="2291" t="str">
        <f>G5</f>
        <v>估价对象所在区域公共配套设施齐备情况</v>
      </c>
    </row>
    <row r="20" spans="1:17" ht="26.4">
      <c r="A20" s="2249"/>
      <c r="B20" s="2290" t="s">
        <v>2274</v>
      </c>
      <c r="C20" s="2289" t="str">
        <f>C9</f>
        <v>区域自然环境：；人文环境；综合评价环境状况较好</v>
      </c>
      <c r="D20" s="2242"/>
      <c r="E20" s="2250"/>
      <c r="F20" s="313" t="s">
        <v>2261</v>
      </c>
      <c r="G20" s="2291" t="str">
        <f>G6</f>
        <v>估价对象所在区域基础设施水平</v>
      </c>
    </row>
    <row r="21" spans="1:17" ht="26.4">
      <c r="A21" s="2249"/>
      <c r="B21" s="313" t="s">
        <v>2258</v>
      </c>
      <c r="C21" s="2291" t="str">
        <f>C7</f>
        <v>估价对象所在区域公共配套设施齐备情况较好</v>
      </c>
      <c r="D21" s="2263"/>
      <c r="E21" s="2250"/>
      <c r="F21" s="2290" t="s">
        <v>2275</v>
      </c>
      <c r="G21" s="2293"/>
    </row>
    <row r="22" spans="1:17" ht="13.5" customHeight="1">
      <c r="A22" s="2249"/>
      <c r="B22" s="313" t="s">
        <v>2261</v>
      </c>
      <c r="C22" s="2291" t="str">
        <f>C8</f>
        <v>估价对象所在区域基础设施水平</v>
      </c>
      <c r="D22" s="2263"/>
      <c r="E22" s="2250"/>
      <c r="F22" s="2290" t="s">
        <v>2266</v>
      </c>
      <c r="G22" s="2292"/>
    </row>
    <row r="23" spans="1:17" s="748" customFormat="1" ht="14.4" thickBot="1">
      <c r="A23" s="2249"/>
      <c r="B23" s="2290" t="s">
        <v>2275</v>
      </c>
      <c r="C23" s="2293"/>
      <c r="D23" s="1611"/>
      <c r="E23" s="2251"/>
      <c r="F23" s="2294" t="s">
        <v>2276</v>
      </c>
      <c r="G23" s="2295"/>
      <c r="H23" s="2274"/>
      <c r="I23" s="2274"/>
      <c r="J23" s="2274"/>
      <c r="K23" s="2274"/>
      <c r="L23" s="2274"/>
      <c r="M23" s="2274"/>
      <c r="N23" s="2274"/>
      <c r="O23" s="2274"/>
      <c r="P23" s="2274"/>
      <c r="Q23" s="2274"/>
    </row>
    <row r="24" spans="1:17" s="748" customFormat="1" ht="14.4" thickBot="1">
      <c r="A24" s="2252"/>
      <c r="B24" s="2294" t="s">
        <v>2277</v>
      </c>
      <c r="C24" s="2296" t="str">
        <f>C10</f>
        <v>主干道-工人体育场路</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5" sqref="E5:F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52989.27</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45762</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83317</v>
      </c>
      <c r="C5" s="2297">
        <f ca="1">IF(B5=D14,结果表!H102,ROUND(B5*10000/$B$1,0))</f>
        <v>15723</v>
      </c>
      <c r="D5" s="2297" t="e">
        <f ca="1">ROUND(B5*10000/$B$2,0)</f>
        <v>#DIV/0!</v>
      </c>
      <c r="E5" s="3276" t="str">
        <f ca="1">NUMBERSTRING(INT(B5*10000),2)&amp;"元整"</f>
        <v>捌亿叁仟叁佰壹拾柒万元整</v>
      </c>
      <c r="F5" s="3277"/>
      <c r="G5" s="2460"/>
      <c r="H5" s="2460"/>
      <c r="I5" s="2460"/>
      <c r="J5" s="2460"/>
      <c r="K5" s="2460"/>
    </row>
    <row r="6" spans="1:11" ht="15.6">
      <c r="A6" s="2297" t="s">
        <v>656</v>
      </c>
      <c r="B6" s="2297">
        <f ca="1">SUM(G14:G23)</f>
        <v>83317</v>
      </c>
      <c r="C6" s="2297">
        <f ca="1">IF(B6=G14,结果表!H108,ROUND(B6*10000/$B$1,0))</f>
        <v>15723</v>
      </c>
      <c r="D6" s="2297" t="e">
        <f ca="1">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G7" s="2460"/>
      <c r="H7" s="2460"/>
      <c r="I7" s="2460"/>
      <c r="J7" s="2460"/>
      <c r="K7" s="2460"/>
    </row>
    <row r="8" spans="1:11" ht="15.6">
      <c r="A8" s="2297" t="s">
        <v>587</v>
      </c>
      <c r="B8" s="2297">
        <f>SUM(I14:I23)</f>
        <v>0</v>
      </c>
      <c r="C8" s="2297">
        <f ca="1">IF(B8=I14,结果表!H112,ROUND(B8*10000/$B$1,0))</f>
        <v>4747</v>
      </c>
      <c r="D8" s="2297" t="e">
        <f>ROUND(B8*10000/$B$2,0)</f>
        <v>#DIV/0!</v>
      </c>
      <c r="E8" s="3276" t="str">
        <f>NUMBERSTRING(INT(B8*10000),2)&amp;"元整"</f>
        <v>零元整</v>
      </c>
      <c r="F8" s="3277"/>
      <c r="G8" s="2460"/>
      <c r="H8" s="2460"/>
      <c r="I8" s="2460"/>
      <c r="J8" s="2460"/>
      <c r="K8" s="2460"/>
    </row>
    <row r="9" spans="1:11" ht="15.6">
      <c r="A9" s="2297" t="s">
        <v>655</v>
      </c>
      <c r="B9" s="1241"/>
      <c r="C9" s="2459"/>
      <c r="D9" s="2459"/>
      <c r="E9" s="2459"/>
      <c r="F9" s="2460"/>
      <c r="G9" s="2460"/>
      <c r="H9" s="2460"/>
      <c r="I9" s="2460"/>
      <c r="J9" s="2460"/>
      <c r="K9" s="2460"/>
    </row>
    <row r="10" spans="1:11" ht="15.6">
      <c r="A10" s="2297" t="s">
        <v>654</v>
      </c>
      <c r="B10" s="2297">
        <f>IF(E10="",0,ROUND(B1*(E10*365/G10)/10000,0))</f>
        <v>0</v>
      </c>
      <c r="C10" s="2297" t="s">
        <v>3351</v>
      </c>
      <c r="D10" s="2297" t="s">
        <v>3352</v>
      </c>
      <c r="E10" s="3133"/>
      <c r="F10" s="3137" t="s">
        <v>3353</v>
      </c>
      <c r="G10" s="3134"/>
      <c r="H10" s="2460"/>
      <c r="I10" s="2460"/>
      <c r="J10" s="2460"/>
      <c r="K10" s="2460"/>
    </row>
    <row r="11" spans="1:11" ht="15.6">
      <c r="A11" s="2297" t="s">
        <v>670</v>
      </c>
      <c r="B11" s="1241"/>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结果表!B118</f>
        <v>21949.910000000098</v>
      </c>
      <c r="C14" s="2303"/>
      <c r="D14" s="2303">
        <f ca="1">结果表!H118</f>
        <v>27409</v>
      </c>
      <c r="E14" s="2303">
        <f ca="1">ROUND(D14*10000/B14,0)</f>
        <v>12487</v>
      </c>
      <c r="F14" s="2303" t="e">
        <f ca="1">ROUND(D14*10000/C14,0)</f>
        <v>#DIV/0!</v>
      </c>
      <c r="G14" s="2303">
        <f ca="1">D14</f>
        <v>27409</v>
      </c>
      <c r="H14" s="2303"/>
      <c r="I14" s="2303"/>
      <c r="J14" s="2460"/>
      <c r="K14" s="2460"/>
    </row>
    <row r="15" spans="1:11" ht="15.6">
      <c r="A15" s="2302" t="s">
        <v>649</v>
      </c>
      <c r="B15" s="2303">
        <f>[5]系统读取表!$B$14</f>
        <v>26071.749999999898</v>
      </c>
      <c r="C15" s="2303"/>
      <c r="D15" s="2303">
        <f ca="1">[7]系统读取表!$D$14</f>
        <v>41764</v>
      </c>
      <c r="E15" s="2303">
        <f t="shared" ref="E15:E23" ca="1" si="0">ROUND(D15*10000/B15,0)</f>
        <v>16019</v>
      </c>
      <c r="F15" s="2303" t="e">
        <f t="shared" ref="F15:F23" ca="1" si="1">ROUND(D15*10000/C15,0)</f>
        <v>#DIV/0!</v>
      </c>
      <c r="G15" s="1241">
        <f ca="1">D15</f>
        <v>41764</v>
      </c>
      <c r="H15" s="2303"/>
      <c r="I15" s="2303"/>
      <c r="J15" s="2460"/>
      <c r="K15" s="2460"/>
    </row>
    <row r="16" spans="1:11" ht="15.6">
      <c r="A16" s="2302" t="s">
        <v>648</v>
      </c>
      <c r="B16" s="2303">
        <f>[6]系统读取表!$B$14</f>
        <v>4967.6099999999997</v>
      </c>
      <c r="C16" s="2303"/>
      <c r="D16" s="2303">
        <f ca="1">[6]结果表!$H$118</f>
        <v>14144</v>
      </c>
      <c r="E16" s="2303">
        <f t="shared" ca="1" si="0"/>
        <v>28472</v>
      </c>
      <c r="F16" s="2303" t="e">
        <f t="shared" ca="1" si="1"/>
        <v>#DIV/0!</v>
      </c>
      <c r="G16" s="1241">
        <f ca="1">D16</f>
        <v>14144</v>
      </c>
      <c r="H16" s="1241"/>
      <c r="I16" s="2304"/>
      <c r="J16" s="2460"/>
      <c r="K16" s="2460"/>
    </row>
    <row r="17" spans="1:11" ht="15.6">
      <c r="A17" s="2302" t="s">
        <v>647</v>
      </c>
      <c r="B17" s="2304"/>
      <c r="C17" s="2304"/>
      <c r="D17" s="2304"/>
      <c r="E17" s="2303" t="e">
        <f t="shared" si="0"/>
        <v>#DIV/0!</v>
      </c>
      <c r="F17" s="2303" t="e">
        <f t="shared" si="1"/>
        <v>#DIV/0!</v>
      </c>
      <c r="G17" s="1241"/>
      <c r="H17" s="1241"/>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mergeCells count="2">
    <mergeCell ref="E5:F5"/>
    <mergeCell ref="E8:F8"/>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SheetLayoutView="100" zoomScalePageLayoutView="80" workbookViewId="0">
      <selection activeCell="P61" sqref="P61"/>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45" t="str">
        <f>项目基本情况!S2</f>
        <v>房地产</v>
      </c>
      <c r="B2" s="3346"/>
      <c r="C2" s="3346"/>
      <c r="D2" s="3346"/>
      <c r="E2" s="3346"/>
      <c r="F2" s="3346"/>
      <c r="G2" s="3346"/>
      <c r="H2" s="3346"/>
      <c r="I2" s="3347"/>
    </row>
    <row r="3" spans="1:12" ht="13.2">
      <c r="A3" s="3349" t="s">
        <v>1264</v>
      </c>
      <c r="B3" s="3350"/>
      <c r="C3" s="3350"/>
      <c r="D3" s="3350"/>
      <c r="E3" s="3350"/>
      <c r="F3" s="3350"/>
      <c r="G3" s="3350"/>
      <c r="H3" s="3350"/>
      <c r="I3" s="3350"/>
    </row>
    <row r="4" spans="1:12" ht="14.4">
      <c r="A4" s="1621" t="s">
        <v>1265</v>
      </c>
      <c r="B4" s="1622" t="s">
        <v>1266</v>
      </c>
      <c r="C4" s="1623" t="s">
        <v>3457</v>
      </c>
      <c r="D4" s="1623" t="s">
        <v>3458</v>
      </c>
      <c r="E4" s="3354" t="s">
        <v>1267</v>
      </c>
      <c r="F4" s="3355"/>
      <c r="G4" s="3355"/>
      <c r="H4" s="3355"/>
      <c r="I4" s="335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93" t="s">
        <v>1268</v>
      </c>
      <c r="B5" s="3348">
        <v>25</v>
      </c>
      <c r="C5" s="3351"/>
      <c r="D5" s="3339"/>
      <c r="E5" s="121" t="s">
        <v>1269</v>
      </c>
      <c r="F5" s="1624"/>
      <c r="G5" s="1624"/>
      <c r="H5" s="1624"/>
      <c r="I5" s="1278"/>
    </row>
    <row r="6" spans="1:12" ht="13.2">
      <c r="A6" s="3293"/>
      <c r="B6" s="3348"/>
      <c r="C6" s="3353"/>
      <c r="D6" s="3339"/>
      <c r="E6" s="121" t="s">
        <v>1270</v>
      </c>
      <c r="F6" s="1624"/>
      <c r="G6" s="1624"/>
      <c r="H6" s="1624"/>
      <c r="I6" s="1278"/>
    </row>
    <row r="7" spans="1:12" ht="13.2">
      <c r="A7" s="3293"/>
      <c r="B7" s="3348"/>
      <c r="C7" s="3352"/>
      <c r="D7" s="3339"/>
      <c r="E7" s="121" t="s">
        <v>1271</v>
      </c>
      <c r="F7" s="1624"/>
      <c r="G7" s="1624"/>
      <c r="H7" s="1624"/>
      <c r="I7" s="1278"/>
    </row>
    <row r="8" spans="1:12" ht="13.2">
      <c r="A8" s="3293" t="s">
        <v>1272</v>
      </c>
      <c r="B8" s="3348">
        <v>15</v>
      </c>
      <c r="C8" s="3351"/>
      <c r="D8" s="3339"/>
      <c r="E8" s="121" t="s">
        <v>1273</v>
      </c>
      <c r="F8" s="1624"/>
      <c r="G8" s="1624"/>
      <c r="H8" s="1624"/>
      <c r="I8" s="1278"/>
    </row>
    <row r="9" spans="1:12" ht="13.2">
      <c r="A9" s="3293"/>
      <c r="B9" s="3348"/>
      <c r="C9" s="3352"/>
      <c r="D9" s="3339"/>
      <c r="E9" s="121" t="s">
        <v>1274</v>
      </c>
      <c r="F9" s="1624"/>
      <c r="G9" s="1624"/>
      <c r="H9" s="1624"/>
      <c r="I9" s="1278"/>
    </row>
    <row r="10" spans="1:12" ht="13.2">
      <c r="A10" s="3293" t="s">
        <v>1275</v>
      </c>
      <c r="B10" s="3348">
        <v>15</v>
      </c>
      <c r="C10" s="3351"/>
      <c r="D10" s="3339"/>
      <c r="E10" s="121" t="s">
        <v>1276</v>
      </c>
      <c r="F10" s="1624"/>
      <c r="G10" s="1624"/>
      <c r="H10" s="1624"/>
      <c r="I10" s="1278"/>
    </row>
    <row r="11" spans="1:12" ht="13.2">
      <c r="A11" s="3293"/>
      <c r="B11" s="3348"/>
      <c r="C11" s="3352"/>
      <c r="D11" s="3339"/>
      <c r="E11" s="121" t="s">
        <v>1277</v>
      </c>
      <c r="F11" s="1624"/>
      <c r="G11" s="1624"/>
      <c r="H11" s="1624"/>
      <c r="I11" s="1278"/>
    </row>
    <row r="12" spans="1:12" ht="13.2">
      <c r="A12" s="3293" t="s">
        <v>1278</v>
      </c>
      <c r="B12" s="3348">
        <v>15</v>
      </c>
      <c r="C12" s="3351"/>
      <c r="D12" s="3339"/>
      <c r="E12" s="121" t="s">
        <v>1279</v>
      </c>
      <c r="F12" s="1624"/>
      <c r="G12" s="1624"/>
      <c r="H12" s="1624"/>
      <c r="I12" s="1278"/>
    </row>
    <row r="13" spans="1:12" ht="13.2">
      <c r="A13" s="3293"/>
      <c r="B13" s="3348"/>
      <c r="C13" s="3352"/>
      <c r="D13" s="3339"/>
      <c r="E13" s="121" t="s">
        <v>1280</v>
      </c>
      <c r="F13" s="1624"/>
      <c r="G13" s="1624"/>
      <c r="H13" s="1624"/>
      <c r="I13" s="1278"/>
    </row>
    <row r="14" spans="1:12" ht="13.2">
      <c r="A14" s="3293" t="s">
        <v>1281</v>
      </c>
      <c r="B14" s="3348">
        <v>30</v>
      </c>
      <c r="C14" s="3351">
        <v>4</v>
      </c>
      <c r="D14" s="3339">
        <v>6</v>
      </c>
      <c r="E14" s="121" t="s">
        <v>1282</v>
      </c>
      <c r="F14" s="1624"/>
      <c r="G14" s="1624"/>
      <c r="H14" s="1624"/>
      <c r="I14" s="1278"/>
    </row>
    <row r="15" spans="1:12" ht="13.2">
      <c r="A15" s="3293"/>
      <c r="B15" s="3348"/>
      <c r="C15" s="3353"/>
      <c r="D15" s="3339"/>
      <c r="E15" s="121" t="s">
        <v>1283</v>
      </c>
      <c r="F15" s="1624"/>
      <c r="G15" s="1624"/>
      <c r="H15" s="1624"/>
      <c r="I15" s="1278"/>
    </row>
    <row r="16" spans="1:12" ht="13.2">
      <c r="A16" s="3293"/>
      <c r="B16" s="3348"/>
      <c r="C16" s="3352"/>
      <c r="D16" s="3339"/>
      <c r="E16" s="121" t="s">
        <v>1284</v>
      </c>
      <c r="F16" s="1624"/>
      <c r="G16" s="1624"/>
      <c r="H16" s="1624"/>
      <c r="I16" s="1278"/>
    </row>
    <row r="17" spans="1:36" ht="14.4">
      <c r="A17" s="1625" t="s">
        <v>1285</v>
      </c>
      <c r="B17" s="54"/>
      <c r="C17" s="122">
        <f>SUM(C5:C16)</f>
        <v>4</v>
      </c>
      <c r="D17" s="122">
        <f>SUM(D5:D16)</f>
        <v>6</v>
      </c>
      <c r="E17" s="119"/>
      <c r="F17" s="119"/>
      <c r="G17" s="119"/>
      <c r="H17" s="119"/>
      <c r="I17" s="119"/>
      <c r="K17" s="292"/>
      <c r="L17" s="292" t="s">
        <v>1286</v>
      </c>
      <c r="M17" s="292" t="s">
        <v>1287</v>
      </c>
    </row>
    <row r="18" spans="1:36" ht="31.95" customHeight="1" thickBot="1">
      <c r="A18" s="1626" t="s">
        <v>1288</v>
      </c>
      <c r="B18" s="1539"/>
      <c r="C18" s="123">
        <f>ROUND(C17/SUM(C17:D17),2)</f>
        <v>0.4</v>
      </c>
      <c r="D18" s="123">
        <f>1-C18</f>
        <v>0.6</v>
      </c>
      <c r="E18" s="3370" t="s">
        <v>2131</v>
      </c>
      <c r="F18" s="3371"/>
      <c r="G18" s="3371"/>
      <c r="H18" s="3371"/>
      <c r="I18" s="3371"/>
      <c r="K18" s="292" t="s">
        <v>1289</v>
      </c>
      <c r="L18" s="292">
        <f>IF(C1="",'数据-汇总表'!E3,SUMIF(项目类型,C1,'数据-汇总表'!E17:E26)+SUMIF(项目类型,C1,'数据-汇总表'!I17:I26))</f>
        <v>21949.910000000098</v>
      </c>
      <c r="M18" s="292">
        <f>IF(C1="",'数据-汇总表'!E3,SUMIF(项目类型,C1,'数据-汇总表'!E17:E26))</f>
        <v>21949.910000000098</v>
      </c>
    </row>
    <row r="19" spans="1:36" ht="14.4">
      <c r="A19" s="1627" t="s">
        <v>1290</v>
      </c>
      <c r="B19" s="1628" t="s">
        <v>1291</v>
      </c>
      <c r="C19" s="124">
        <f ca="1">SUMIF(INDIRECT("'"&amp;C4&amp;"'"&amp;"!A:A"),结果表!B19,INDIRECT("'"&amp;C4&amp;"'"&amp;"!B:B"))</f>
        <v>39230</v>
      </c>
      <c r="D19" s="125">
        <f ca="1">SUMIF(INDIRECT("'"&amp;D4&amp;"'"&amp;"!A:A"),结果表!B19,INDIRECT("'"&amp;D4&amp;"'"&amp;"!B:B"))</f>
        <v>19529</v>
      </c>
      <c r="E19" s="1627" t="s">
        <v>1292</v>
      </c>
      <c r="F19" s="1628" t="s">
        <v>1291</v>
      </c>
      <c r="G19" s="126">
        <f ca="1">ROUND(C19*$C$18+D19*$D$18,0)</f>
        <v>27409</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0"/>
      <c r="B20" s="43" t="s">
        <v>1295</v>
      </c>
      <c r="C20" s="127">
        <f ca="1">SUMIF(INDIRECT("'"&amp;C4&amp;"'"&amp;"!A:A"),结果表!B20,INDIRECT("'"&amp;C4&amp;"'"&amp;"!B:B"))</f>
        <v>17873</v>
      </c>
      <c r="D20" s="128">
        <f ca="1">SUMIF(INDIRECT("'"&amp;D4&amp;"'"&amp;"!A:A"),结果表!B20,INDIRECT("'"&amp;D4&amp;"'"&amp;"!B:B"))</f>
        <v>8897</v>
      </c>
      <c r="E20" s="1630"/>
      <c r="F20" s="43" t="s">
        <v>1295</v>
      </c>
      <c r="G20" s="129">
        <f ca="1">ROUND(C20*$C$18+D20*$D$18,0)</f>
        <v>12487</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1.0088074146141635</v>
      </c>
      <c r="E22" s="119"/>
      <c r="F22" s="119"/>
      <c r="G22" s="119"/>
      <c r="H22" s="119"/>
      <c r="I22" s="119"/>
    </row>
    <row r="23" spans="1:36" ht="13.8" thickBot="1">
      <c r="A23" s="644"/>
      <c r="B23" s="644"/>
      <c r="C23" s="644"/>
      <c r="D23" s="644"/>
      <c r="E23" s="119"/>
      <c r="F23" s="119"/>
      <c r="G23" s="119"/>
      <c r="H23" s="119"/>
      <c r="I23" s="119"/>
    </row>
    <row r="24" spans="1:36" ht="14.4">
      <c r="A24" s="3363" t="s">
        <v>1299</v>
      </c>
      <c r="B24" s="1628" t="s">
        <v>1291</v>
      </c>
      <c r="C24" s="126">
        <f>IF(B30=0,0,D30)</f>
        <v>0</v>
      </c>
      <c r="D24" s="1634"/>
      <c r="E24" s="119"/>
      <c r="F24" s="119"/>
      <c r="G24" s="119"/>
      <c r="H24" s="119"/>
      <c r="I24" s="119"/>
    </row>
    <row r="25" spans="1:36" ht="14.4">
      <c r="A25" s="3364"/>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3.8">
      <c r="A27" s="1636"/>
      <c r="B27" s="132">
        <v>0</v>
      </c>
      <c r="C27" s="132">
        <v>0</v>
      </c>
      <c r="D27" s="133">
        <f>ROUND(C27*B27/10000,0)</f>
        <v>0</v>
      </c>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4">
        <f ca="1">IF(D32="总价",G19-C24,G20-C25)</f>
        <v>27409</v>
      </c>
      <c r="D32" s="1638" t="s">
        <v>3460</v>
      </c>
      <c r="E32" s="119"/>
      <c r="F32" s="119"/>
      <c r="G32" s="119"/>
      <c r="H32" s="119"/>
      <c r="I32" s="119"/>
    </row>
    <row r="33" spans="1:16" ht="14.4">
      <c r="A33" s="737" t="s">
        <v>1306</v>
      </c>
      <c r="B33" s="121"/>
      <c r="C33" s="1639" t="s">
        <v>3459</v>
      </c>
      <c r="D33" s="1640" t="s">
        <v>3457</v>
      </c>
      <c r="E33" s="1641" t="s">
        <v>1307</v>
      </c>
      <c r="F33" s="1642" t="str">
        <f>IF(D32="楼面单价","取值（单价）","取值（总价）")</f>
        <v>取值（总价）</v>
      </c>
      <c r="G33" s="119"/>
      <c r="H33" s="119"/>
      <c r="I33" s="119"/>
    </row>
    <row r="34" spans="1:16" ht="14.4">
      <c r="A34" s="1643"/>
      <c r="B34" s="1644" t="s">
        <v>1308</v>
      </c>
      <c r="C34" s="138">
        <f ca="1">IF(C33="自定义",F34,C32-C35)</f>
        <v>18172</v>
      </c>
      <c r="D34" s="805">
        <f ca="1">IF(C33="自定义",ROUND(C34/C32,3),IF(C33="收益比率",SUMIF(INDIRECT("'"&amp;D33&amp;"'"&amp;"!b:b"),"土地收益比率",INDIRECT("'"&amp;D33&amp;"'"&amp;"!c:c")),SUMIF(INDIRECT("'"&amp;D33&amp;"'"&amp;"!b:b"),"土地成本比率",INDIRECT("'"&amp;D33&amp;"'"&amp;"!c:c"))))</f>
        <v>0.66300000000000003</v>
      </c>
      <c r="E34" s="1645" t="s">
        <v>1309</v>
      </c>
      <c r="F34" s="1240"/>
      <c r="G34" s="119"/>
      <c r="H34" s="119"/>
      <c r="I34" s="119"/>
    </row>
    <row r="35" spans="1:16" ht="15" thickBot="1">
      <c r="A35" s="1646"/>
      <c r="B35" s="1647" t="s">
        <v>1310</v>
      </c>
      <c r="C35" s="1087">
        <f ca="1">IF(C33="自定义",F35,ROUND(C32*D35,0))</f>
        <v>9237</v>
      </c>
      <c r="D35" s="1088">
        <f ca="1">IF(C33="自定义",ROUND(C35/C32,3),IF(C33="收益比率",SUMIF(INDIRECT("'"&amp;D33&amp;"'"&amp;"!b:b"),"建筑物收益比率",INDIRECT("'"&amp;D33&amp;"'"&amp;"!c:c")),SUMIF(INDIRECT("'"&amp;D33&amp;"'"&amp;"!b:b"),"建筑物成本比率",INDIRECT("'"&amp;D33&amp;"'"&amp;"!c:c"))))</f>
        <v>0.33700000000000002</v>
      </c>
      <c r="E35" s="1648" t="s">
        <v>1311</v>
      </c>
      <c r="F35" s="144"/>
      <c r="G35" s="119"/>
      <c r="H35" s="119"/>
      <c r="I35" s="119"/>
    </row>
    <row r="36" spans="1:16" ht="15" thickBot="1">
      <c r="A36" s="3340" t="s">
        <v>1312</v>
      </c>
      <c r="B36" s="1649" t="s">
        <v>1313</v>
      </c>
      <c r="C36" s="135"/>
      <c r="D36" s="1650"/>
      <c r="E36" s="1564"/>
      <c r="F36" s="1651"/>
      <c r="G36" s="119"/>
      <c r="H36" s="119"/>
      <c r="I36" s="119"/>
    </row>
    <row r="37" spans="1:16" ht="15" thickBot="1">
      <c r="A37" s="3341"/>
      <c r="B37" s="1552" t="s">
        <v>1314</v>
      </c>
      <c r="C37" s="137"/>
      <c r="D37" s="1068"/>
      <c r="E37" s="1068"/>
      <c r="F37" s="1651"/>
      <c r="G37" s="119"/>
      <c r="H37" s="119"/>
      <c r="I37" s="119"/>
    </row>
    <row r="38" spans="1:16" ht="15" thickBot="1">
      <c r="A38" s="3342"/>
      <c r="B38" s="1652" t="s">
        <v>1315</v>
      </c>
      <c r="C38" s="639"/>
      <c r="D38" s="1653" t="s">
        <v>1316</v>
      </c>
      <c r="E38" s="1068"/>
      <c r="F38" s="1651"/>
      <c r="G38" s="119"/>
      <c r="H38" s="119"/>
      <c r="I38" s="119"/>
    </row>
    <row r="39" spans="1:16" ht="14.4">
      <c r="A39" s="1630" t="s">
        <v>1317</v>
      </c>
      <c r="B39" s="1654" t="s">
        <v>1318</v>
      </c>
      <c r="C39" s="1655" t="s">
        <v>1319</v>
      </c>
      <c r="D39" s="1655" t="s">
        <v>1320</v>
      </c>
      <c r="E39" s="1656" t="s">
        <v>1321</v>
      </c>
      <c r="F39" s="1651"/>
      <c r="G39" s="119"/>
      <c r="H39" s="119"/>
      <c r="I39" s="119"/>
    </row>
    <row r="40" spans="1:16" ht="13.8">
      <c r="A40" s="1657" t="s">
        <v>1322</v>
      </c>
      <c r="B40" s="139"/>
      <c r="C40" s="140"/>
      <c r="D40" s="140"/>
      <c r="E40" s="141"/>
      <c r="F40" s="1651"/>
      <c r="G40" s="119"/>
      <c r="H40" s="119"/>
      <c r="I40" s="119"/>
    </row>
    <row r="41" spans="1:16" ht="13.8">
      <c r="A41" s="1657" t="s">
        <v>1323</v>
      </c>
      <c r="B41" s="139"/>
      <c r="C41" s="140"/>
      <c r="D41" s="140"/>
      <c r="E41" s="141"/>
      <c r="F41" s="1651"/>
      <c r="G41" s="119"/>
      <c r="H41" s="119"/>
      <c r="I41" s="119"/>
    </row>
    <row r="42" spans="1:16" ht="14.4" thickBot="1">
      <c r="A42" s="1658"/>
      <c r="B42" s="142"/>
      <c r="C42" s="143"/>
      <c r="D42" s="143"/>
      <c r="E42" s="144"/>
      <c r="F42" s="1651"/>
      <c r="G42" s="119"/>
      <c r="H42" s="119"/>
      <c r="I42" s="119"/>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60" t="s">
        <v>1326</v>
      </c>
      <c r="B45" s="3361"/>
      <c r="C45" s="3362"/>
      <c r="D45" s="145">
        <f ca="1">ROUND(H101*F45,0)</f>
        <v>27409</v>
      </c>
      <c r="E45" s="146" t="s">
        <v>1327</v>
      </c>
      <c r="F45" s="147">
        <v>1</v>
      </c>
      <c r="G45" s="148" t="s">
        <v>1328</v>
      </c>
      <c r="H45" s="119"/>
      <c r="I45" s="119"/>
      <c r="J45" s="3280" t="s">
        <v>1329</v>
      </c>
      <c r="K45" s="3280"/>
      <c r="L45" s="3280"/>
      <c r="M45" s="3280"/>
      <c r="N45" s="3280"/>
      <c r="O45" s="3280"/>
    </row>
    <row r="46" spans="1:16" ht="14.25" customHeight="1">
      <c r="A46" s="3357" t="s">
        <v>1330</v>
      </c>
      <c r="B46" s="3358"/>
      <c r="C46" s="3358"/>
      <c r="D46" s="3358"/>
      <c r="E46" s="3358"/>
      <c r="F46" s="3358"/>
      <c r="G46" s="3359"/>
      <c r="H46" s="1665"/>
      <c r="I46" s="149"/>
      <c r="J46" s="2307">
        <v>1</v>
      </c>
      <c r="K46" s="3281" t="s">
        <v>1331</v>
      </c>
      <c r="L46" s="3281"/>
      <c r="M46" s="3282"/>
      <c r="N46" s="3282"/>
      <c r="O46" s="3282"/>
    </row>
    <row r="47" spans="1:16" ht="12" customHeight="1">
      <c r="A47" s="150" t="s">
        <v>1332</v>
      </c>
      <c r="B47" s="151"/>
      <c r="C47" s="152"/>
      <c r="D47" s="1021" t="s">
        <v>1333</v>
      </c>
      <c r="E47" s="292" t="s">
        <v>1334</v>
      </c>
      <c r="F47" s="153" t="s">
        <v>1335</v>
      </c>
      <c r="G47" s="2330" t="s">
        <v>1336</v>
      </c>
      <c r="H47" s="2331"/>
      <c r="I47" s="149"/>
      <c r="J47" s="2307">
        <v>2</v>
      </c>
      <c r="K47" s="3281" t="s">
        <v>1337</v>
      </c>
      <c r="L47" s="3281"/>
      <c r="M47" s="3283">
        <f>'数据-取费表'!B2</f>
        <v>45762</v>
      </c>
      <c r="N47" s="3283"/>
      <c r="O47" s="3283"/>
    </row>
    <row r="48" spans="1:16" ht="26.4">
      <c r="A48" s="3343" t="s">
        <v>1338</v>
      </c>
      <c r="B48" s="3344"/>
      <c r="C48" s="3344"/>
      <c r="D48" s="12">
        <f ca="1">IF(H48="情况1",0,IF(H48="情况2",D52,IF(H48="情况3",D53,IF(H48="情况4",D54))))</f>
        <v>1462</v>
      </c>
      <c r="E48" s="1253" t="str">
        <f>IF(H48="情况4","(销售额-原购置价)×税（费）率","销售额×税（费）率")</f>
        <v>销售额×税（费）率</v>
      </c>
      <c r="F48" s="2332">
        <f>IF(H48="情况1","免征",'数据-取费表'!B41)</f>
        <v>5.6000000000000001E-2</v>
      </c>
      <c r="G48" s="2333" t="s">
        <v>1339</v>
      </c>
      <c r="H48" s="2334" t="s">
        <v>3461</v>
      </c>
      <c r="I48" s="1665"/>
      <c r="J48" s="2307">
        <v>3</v>
      </c>
      <c r="K48" s="3281" t="s">
        <v>1340</v>
      </c>
      <c r="L48" s="3281"/>
      <c r="M48" s="3284">
        <f ca="1">H101</f>
        <v>27409</v>
      </c>
      <c r="N48" s="3284"/>
      <c r="O48" s="3284"/>
      <c r="P48" s="682">
        <f ca="1">M48</f>
        <v>27409</v>
      </c>
    </row>
    <row r="49" spans="1:35" ht="25.5" customHeight="1">
      <c r="A49" s="2149" t="s">
        <v>1341</v>
      </c>
      <c r="B49" s="3329" t="s">
        <v>1342</v>
      </c>
      <c r="C49" s="3329"/>
      <c r="D49" s="1475">
        <v>0</v>
      </c>
      <c r="E49" s="314" t="s">
        <v>1343</v>
      </c>
      <c r="F49" s="2230" t="s">
        <v>28</v>
      </c>
      <c r="G49" s="3312"/>
      <c r="H49" s="2131" t="s">
        <v>2134</v>
      </c>
      <c r="I49" s="2132"/>
      <c r="J49" s="2307">
        <v>4</v>
      </c>
      <c r="K49" s="3281" t="str">
        <f>IF(项目基本情况!E8="房地产抵押价值","房地产抵押价值","抵押担保权已注销时的房地产抵押价值")</f>
        <v>房地产抵押价值</v>
      </c>
      <c r="L49" s="3281"/>
      <c r="M49" s="3284">
        <f ca="1">IF(项目基本情况!E8="房地产抵押价值",H107,H109)</f>
        <v>27409</v>
      </c>
      <c r="N49" s="3284"/>
      <c r="O49" s="3284"/>
    </row>
    <row r="50" spans="1:35" ht="25.5" customHeight="1">
      <c r="A50" s="2335"/>
      <c r="B50" s="3329" t="s">
        <v>1344</v>
      </c>
      <c r="C50" s="3329"/>
      <c r="D50" s="2186"/>
      <c r="E50" s="321"/>
      <c r="F50" s="2230"/>
      <c r="G50" s="3313"/>
      <c r="H50" s="2133" t="s">
        <v>2135</v>
      </c>
      <c r="I50" s="2132"/>
      <c r="J50" s="3280" t="s">
        <v>1345</v>
      </c>
      <c r="K50" s="3280"/>
      <c r="L50" s="3280"/>
      <c r="M50" s="3280"/>
      <c r="N50" s="3280"/>
      <c r="O50" s="3280"/>
    </row>
    <row r="51" spans="1:35" ht="20.399999999999999" customHeight="1">
      <c r="A51" s="2336"/>
      <c r="B51" s="3329" t="s">
        <v>1346</v>
      </c>
      <c r="C51" s="3329"/>
      <c r="D51" s="1021"/>
      <c r="E51" s="317"/>
      <c r="F51" s="2230"/>
      <c r="G51" s="3314"/>
      <c r="H51" s="2133" t="s">
        <v>2136</v>
      </c>
      <c r="I51" s="2132"/>
      <c r="J51" s="2308" t="s">
        <v>1347</v>
      </c>
      <c r="K51" s="3281" t="s">
        <v>1348</v>
      </c>
      <c r="L51" s="3281"/>
      <c r="M51" s="2308" t="s">
        <v>1349</v>
      </c>
      <c r="N51" s="2308" t="s">
        <v>1350</v>
      </c>
      <c r="O51" s="2308" t="s">
        <v>1351</v>
      </c>
    </row>
    <row r="52" spans="1:35" ht="24" customHeight="1">
      <c r="A52" s="2150" t="s">
        <v>1352</v>
      </c>
      <c r="B52" s="3329" t="s">
        <v>1353</v>
      </c>
      <c r="C52" s="3329"/>
      <c r="D52" s="1021">
        <f ca="1">ROUND(D45*'数据-取费表'!B41/(1+'数据-取费表'!C42),0)</f>
        <v>1462</v>
      </c>
      <c r="E52" s="1253" t="s">
        <v>1354</v>
      </c>
      <c r="F52" s="2337">
        <f>'数据-取费表'!B41</f>
        <v>5.6000000000000001E-2</v>
      </c>
      <c r="G52" s="2338"/>
      <c r="H52" s="2328"/>
      <c r="I52" s="1666"/>
      <c r="J52" s="2307">
        <v>1</v>
      </c>
      <c r="K52" s="3306" t="s">
        <v>1355</v>
      </c>
      <c r="L52" s="3306"/>
      <c r="M52" s="2309">
        <f ca="1">D48</f>
        <v>1462</v>
      </c>
      <c r="N52" s="2307" t="str">
        <f>E48</f>
        <v>销售额×税（费）率</v>
      </c>
      <c r="O52" s="2310">
        <f>F48</f>
        <v>5.6000000000000001E-2</v>
      </c>
      <c r="P52" s="682">
        <f ca="1">M52</f>
        <v>1462</v>
      </c>
    </row>
    <row r="53" spans="1:35" ht="12" customHeight="1">
      <c r="A53" s="2150" t="s">
        <v>1356</v>
      </c>
      <c r="B53" s="3330" t="s">
        <v>2287</v>
      </c>
      <c r="C53" s="3331"/>
      <c r="D53" s="1021">
        <f ca="1">ROUND(D45*'数据-取费表'!B41/(1+'数据-取费表'!C42),0)</f>
        <v>1462</v>
      </c>
      <c r="E53" s="1253" t="s">
        <v>1354</v>
      </c>
      <c r="F53" s="2337">
        <f>'数据-取费表'!B41</f>
        <v>5.6000000000000001E-2</v>
      </c>
      <c r="G53" s="2338"/>
      <c r="H53" s="2328"/>
      <c r="I53" s="1666"/>
      <c r="J53" s="2307">
        <v>2</v>
      </c>
      <c r="K53" s="3306" t="s">
        <v>1357</v>
      </c>
      <c r="L53" s="3306"/>
      <c r="M53" s="2309">
        <f t="shared" ref="M53:O54" ca="1" si="0">D55</f>
        <v>14</v>
      </c>
      <c r="N53" s="2307" t="str">
        <f t="shared" si="0"/>
        <v>销售额×税（费）率</v>
      </c>
      <c r="O53" s="2310">
        <f t="shared" si="0"/>
        <v>5.0000000000000001E-4</v>
      </c>
      <c r="P53" s="682">
        <f ca="1">M53</f>
        <v>14</v>
      </c>
    </row>
    <row r="54" spans="1:35" ht="12" customHeight="1">
      <c r="A54" s="2150" t="s">
        <v>1358</v>
      </c>
      <c r="B54" s="3330" t="s">
        <v>2288</v>
      </c>
      <c r="C54" s="3331"/>
      <c r="D54" s="1021">
        <f ca="1">C68</f>
        <v>1462</v>
      </c>
      <c r="E54" s="317" t="s">
        <v>1359</v>
      </c>
      <c r="F54" s="2337">
        <f>'数据-取费表'!B41</f>
        <v>5.6000000000000001E-2</v>
      </c>
      <c r="G54" s="2338"/>
      <c r="H54" s="2339"/>
      <c r="I54" s="1666"/>
      <c r="J54" s="2307">
        <v>3</v>
      </c>
      <c r="K54" s="3306" t="s">
        <v>1360</v>
      </c>
      <c r="L54" s="3306"/>
      <c r="M54" s="2309">
        <f t="shared" ca="1" si="0"/>
        <v>15513</v>
      </c>
      <c r="N54" s="2307" t="str">
        <f t="shared" si="0"/>
        <v>增值额×税（费）率</v>
      </c>
      <c r="O54" s="2311" t="str">
        <f t="shared" si="0"/>
        <v>——</v>
      </c>
      <c r="P54" s="682">
        <f ca="1">ROUND(P48/1.05*0.05,0)</f>
        <v>1305</v>
      </c>
    </row>
    <row r="55" spans="1:35" ht="24" customHeight="1">
      <c r="A55" s="3366" t="s">
        <v>1361</v>
      </c>
      <c r="B55" s="3344"/>
      <c r="C55" s="3344"/>
      <c r="D55" s="12">
        <f ca="1">IF(H55="个人住宅",0,ROUND(D45*I55,0))</f>
        <v>14</v>
      </c>
      <c r="E55" s="1253" t="s">
        <v>1362</v>
      </c>
      <c r="F55" s="2337">
        <f>IF(H55="正常",I55,"免征")</f>
        <v>5.0000000000000001E-4</v>
      </c>
      <c r="G55" s="2338"/>
      <c r="H55" s="2334" t="s">
        <v>3462</v>
      </c>
      <c r="I55" s="155">
        <f>'数据-取费表'!B49</f>
        <v>5.0000000000000001E-4</v>
      </c>
      <c r="J55" s="2307" t="str">
        <f>IF(H59="非个人房产","",4)</f>
        <v/>
      </c>
      <c r="K55" s="3306" t="str">
        <f>IF(H59="非个人房产","——","个人所得税")</f>
        <v>——</v>
      </c>
      <c r="L55" s="3306"/>
      <c r="M55" s="2312" t="str">
        <f>D59</f>
        <v>——</v>
      </c>
      <c r="N55" s="1880" t="str">
        <f>E59</f>
        <v>——</v>
      </c>
      <c r="O55" s="2313" t="str">
        <f>F59</f>
        <v>——</v>
      </c>
    </row>
    <row r="56" spans="1:35" ht="25.2">
      <c r="A56" s="3366" t="s">
        <v>1363</v>
      </c>
      <c r="B56" s="3344"/>
      <c r="C56" s="3344"/>
      <c r="D56" s="12">
        <f ca="1">IF(H56="个人住宅",D57,D58)</f>
        <v>15513</v>
      </c>
      <c r="E56" s="1253" t="s">
        <v>1364</v>
      </c>
      <c r="F56" s="2337" t="str">
        <f>IF(H56="正常",F58,"免征")</f>
        <v>——</v>
      </c>
      <c r="G56" s="2340" t="s">
        <v>1365</v>
      </c>
      <c r="H56" s="2341" t="s">
        <v>3462</v>
      </c>
      <c r="I56" s="1667"/>
      <c r="J56" s="2307" t="str">
        <f>IF(项目基本情况!K6="上海银行",IF(J55="",4,J55+1),"")</f>
        <v/>
      </c>
      <c r="K56" s="3287" t="str">
        <f>IF(项目基本情况!K6="上海银行","其他处置费用","")</f>
        <v/>
      </c>
      <c r="L56" s="3288"/>
      <c r="M56" s="2309" t="str">
        <f>IF(项目基本情况!K6="上海银行",M69,"")</f>
        <v/>
      </c>
      <c r="N56" s="3287" t="str">
        <f>IF(项目基本情况!K6="上海银行","包含处置中涉及的律师、诉讼、拍卖、评估等费用","")</f>
        <v/>
      </c>
      <c r="O56" s="3290"/>
    </row>
    <row r="57" spans="1:35" ht="13.2">
      <c r="A57" s="2150" t="s">
        <v>1341</v>
      </c>
      <c r="B57" s="3330" t="s">
        <v>1366</v>
      </c>
      <c r="C57" s="3331"/>
      <c r="D57" s="1475">
        <v>0</v>
      </c>
      <c r="E57" s="314" t="s">
        <v>1343</v>
      </c>
      <c r="F57" s="292"/>
      <c r="G57" s="2338"/>
      <c r="H57" s="2342"/>
      <c r="I57" s="1667"/>
      <c r="J57" s="3306">
        <f>IF(AND(J55="",J56=""),4,IF(项目基本情况!K6="上海银行",结果表!J56+1,结果表!J55+1))</f>
        <v>4</v>
      </c>
      <c r="K57" s="3306" t="s">
        <v>1367</v>
      </c>
      <c r="L57" s="2314" t="s">
        <v>1368</v>
      </c>
      <c r="M57" s="2315"/>
      <c r="N57" s="2316">
        <f ca="1">SUMIF(M52:M56,"&lt;9e307")</f>
        <v>16989</v>
      </c>
      <c r="O57" s="2317"/>
      <c r="P57" s="682">
        <f ca="1">P52+P53+P54</f>
        <v>2781</v>
      </c>
    </row>
    <row r="58" spans="1:35" ht="25.2">
      <c r="A58" s="2150" t="s">
        <v>1352</v>
      </c>
      <c r="B58" s="3330" t="s">
        <v>1369</v>
      </c>
      <c r="C58" s="3329"/>
      <c r="D58" s="12">
        <f ca="1">IF(H58="转让取得",C81,C97)</f>
        <v>15513</v>
      </c>
      <c r="E58" s="1253" t="s">
        <v>1364</v>
      </c>
      <c r="F58" s="292" t="s">
        <v>28</v>
      </c>
      <c r="G58" s="2338"/>
      <c r="H58" s="2341" t="s">
        <v>3463</v>
      </c>
      <c r="I58" s="1667"/>
      <c r="J58" s="3306"/>
      <c r="K58" s="3306"/>
      <c r="L58" s="2314" t="s">
        <v>1370</v>
      </c>
      <c r="M58" s="2318"/>
      <c r="N58" s="2319" t="str">
        <f ca="1">NUMBERSTRING(INT(N57*10000),2)&amp;"元整"</f>
        <v>壹亿陆仟玖佰捌拾玖万元整</v>
      </c>
      <c r="O58" s="2320"/>
      <c r="P58" s="682" t="str">
        <f ca="1">NUMBERSTRING(INT(P57*10000),2)&amp;"元整"</f>
        <v>贰仟柒佰捌拾壹万元整</v>
      </c>
    </row>
    <row r="59" spans="1:35" ht="24.6" thickBot="1">
      <c r="A59" s="3310" t="s">
        <v>1371</v>
      </c>
      <c r="B59" s="3311"/>
      <c r="C59" s="3311"/>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3464</v>
      </c>
      <c r="I59" s="2134" t="s">
        <v>2137</v>
      </c>
      <c r="J59" s="3308">
        <f>J57+1</f>
        <v>5</v>
      </c>
      <c r="K59" s="3306" t="s">
        <v>1372</v>
      </c>
      <c r="L59" s="2307" t="s">
        <v>1368</v>
      </c>
      <c r="M59" s="2321"/>
      <c r="N59" s="2322">
        <f ca="1">M49-N57</f>
        <v>10420</v>
      </c>
      <c r="O59" s="2323"/>
      <c r="P59" s="682">
        <f ca="1">P48-P57</f>
        <v>24628</v>
      </c>
    </row>
    <row r="60" spans="1:35" ht="12" customHeight="1">
      <c r="A60" s="1668"/>
      <c r="B60" s="644"/>
      <c r="C60" s="644"/>
      <c r="D60" s="644"/>
      <c r="E60" s="1463"/>
      <c r="F60" s="1667"/>
      <c r="G60" s="1667"/>
      <c r="H60" s="149"/>
      <c r="I60" s="119"/>
      <c r="J60" s="3309"/>
      <c r="K60" s="3306"/>
      <c r="L60" s="2314" t="s">
        <v>1370</v>
      </c>
      <c r="M60" s="2318"/>
      <c r="N60" s="2319" t="str">
        <f ca="1">NUMBERSTRING(INT(N59*10000),2)&amp;"元整"</f>
        <v>壹亿零肆佰贰拾万元整</v>
      </c>
      <c r="O60" s="2320"/>
      <c r="P60" s="682" t="str">
        <f ca="1">NUMBERSTRING(INT(P59*10000),2)&amp;"元整"</f>
        <v>贰亿肆仟陆佰贰拾捌万元整</v>
      </c>
    </row>
    <row r="61" spans="1:35" ht="13.8" thickBot="1">
      <c r="A61" s="3365" t="s">
        <v>1373</v>
      </c>
      <c r="B61" s="3365"/>
      <c r="C61" s="3365"/>
      <c r="D61" s="3365"/>
      <c r="E61" s="3365"/>
      <c r="F61" s="1667"/>
      <c r="G61" s="1667"/>
      <c r="H61" s="149"/>
      <c r="I61" s="119"/>
      <c r="J61" s="2307">
        <f>J59+1</f>
        <v>6</v>
      </c>
      <c r="K61" s="3306" t="s">
        <v>1374</v>
      </c>
      <c r="L61" s="3306"/>
      <c r="M61" s="2324"/>
      <c r="N61" s="2325">
        <f ca="1">ROUND(N59*10000/'数据-汇总表'!E3,0)</f>
        <v>4747</v>
      </c>
      <c r="O61" s="2326"/>
      <c r="P61" s="682">
        <f ca="1">ROUND(P59*10000/L18,0)</f>
        <v>11220</v>
      </c>
    </row>
    <row r="62" spans="1:35" ht="13.2">
      <c r="A62" s="3325" t="s">
        <v>1375</v>
      </c>
      <c r="B62" s="3326"/>
      <c r="C62" s="1862"/>
      <c r="D62" s="1862" t="s">
        <v>1376</v>
      </c>
      <c r="E62" s="156" t="s">
        <v>1377</v>
      </c>
      <c r="F62" s="1667"/>
      <c r="G62" s="1667"/>
      <c r="H62" s="149"/>
      <c r="I62" s="119"/>
    </row>
    <row r="63" spans="1:35" ht="13.2">
      <c r="A63" s="163" t="s">
        <v>330</v>
      </c>
      <c r="B63" s="157" t="s">
        <v>1378</v>
      </c>
      <c r="C63" s="2347">
        <f ca="1">ROUND((C64+C65)/(1+'数据-取费表'!C42),0)</f>
        <v>26104</v>
      </c>
      <c r="D63" s="157"/>
      <c r="E63" s="158"/>
      <c r="F63" s="1667"/>
      <c r="G63" s="1667"/>
      <c r="H63" s="149"/>
      <c r="I63" s="119"/>
      <c r="J63" s="3289" t="s">
        <v>1379</v>
      </c>
      <c r="K63" s="1242" t="s">
        <v>1380</v>
      </c>
      <c r="L63" s="1242">
        <f ca="1">IF(M49&gt;10000,M49*0.5%,IF(AND(M49&gt;1000,M49&lt;=10000),M49*1%,IF(AND(M49&gt;100,M49&lt;=1000),M49*3%,IF(AND(M49&gt;10,M49&lt;=100),M49*5%,M49*8%))))</f>
        <v>137.04500000000002</v>
      </c>
      <c r="M63" s="292">
        <f ca="1">ROUND(L63,1)</f>
        <v>137</v>
      </c>
      <c r="N63" s="2327"/>
      <c r="Z63" s="1620"/>
      <c r="AI63" s="1558"/>
    </row>
    <row r="64" spans="1:35" ht="14.25" customHeight="1">
      <c r="A64" s="159" t="s">
        <v>325</v>
      </c>
      <c r="B64" s="160" t="s">
        <v>1381</v>
      </c>
      <c r="C64" s="2348">
        <f ca="1">D45</f>
        <v>27409</v>
      </c>
      <c r="D64" s="160" t="s">
        <v>26</v>
      </c>
      <c r="E64" s="162"/>
      <c r="F64" s="1667"/>
      <c r="G64" s="1667"/>
      <c r="H64" s="149"/>
      <c r="I64" s="119"/>
      <c r="J64" s="3289"/>
      <c r="K64" s="1242" t="s">
        <v>1382</v>
      </c>
      <c r="L64" s="1242">
        <f ca="1">IF(M49&gt;2000,M49*0.5%,IF(AND(M49&gt;1000,M49&lt;=2000),M49*0.6%,IF(AND(M49&gt;500,M49&lt;=1000),M49*0.7%,IF(AND(M49&gt;200,M49&lt;=500),M49*0.8%,IF(AND(M49&gt;100,M49&lt;=200),M49*0.9%,IF(AND(M49&gt;50,M49&lt;=100),M49*1%,IF(AND(M49&gt;20,M49&lt;=50),M49*1.5%,IF(AND(M49&gt;10,M49&lt;=20),M49*2%,IF(AND(M49&gt;1,M49&lt;=10),M49*2.5%)))))))))</f>
        <v>137.04500000000002</v>
      </c>
      <c r="M64" s="292">
        <f ca="1">ROUND(L64,1)</f>
        <v>137</v>
      </c>
      <c r="N64" s="2328" t="s">
        <v>1383</v>
      </c>
      <c r="Z64" s="1620"/>
      <c r="AI64" s="1558"/>
    </row>
    <row r="65" spans="1:35" ht="14.25" customHeight="1">
      <c r="A65" s="159" t="s">
        <v>326</v>
      </c>
      <c r="B65" s="160" t="s">
        <v>1384</v>
      </c>
      <c r="C65" s="2349"/>
      <c r="D65" s="160"/>
      <c r="E65" s="162"/>
      <c r="F65" s="1667"/>
      <c r="G65" s="1667"/>
      <c r="H65" s="149"/>
      <c r="I65" s="119"/>
      <c r="J65" s="3289"/>
      <c r="K65" s="1242" t="s">
        <v>1385</v>
      </c>
      <c r="L65" s="1242">
        <f ca="1">IF(M49&gt;1000,M49*0.1%,IF(AND(M49&gt;500,M49&lt;=1000),M49*0.5%,IF(AND(M49&gt;50,M49&lt;=500),M49*1%,IF(AND(M49&gt;1,M49&lt;=50),M49*1.5%))))</f>
        <v>27.408999999999999</v>
      </c>
      <c r="M65" s="292">
        <f ca="1">ROUND(L65,1)</f>
        <v>27.4</v>
      </c>
      <c r="N65" s="2328" t="s">
        <v>1383</v>
      </c>
      <c r="Z65" s="1620"/>
      <c r="AI65" s="1558"/>
    </row>
    <row r="66" spans="1:35" ht="14.25" customHeight="1">
      <c r="A66" s="163" t="s">
        <v>327</v>
      </c>
      <c r="B66" s="164" t="s">
        <v>1386</v>
      </c>
      <c r="C66" s="2350"/>
      <c r="D66" s="164" t="s">
        <v>26</v>
      </c>
      <c r="E66" s="1248" t="s">
        <v>671</v>
      </c>
      <c r="F66" s="1667"/>
      <c r="G66" s="1667"/>
      <c r="H66" s="149"/>
      <c r="I66" s="119"/>
      <c r="J66" s="3289"/>
      <c r="K66" s="1242" t="s">
        <v>1387</v>
      </c>
      <c r="L66" s="1242">
        <f ca="1">M49*0.5%</f>
        <v>137.04500000000002</v>
      </c>
      <c r="M66" s="292">
        <f ca="1">IF(L66&gt;0.5,0.5,ROUND(L66,0))</f>
        <v>0.5</v>
      </c>
      <c r="N66" s="2328" t="s">
        <v>1388</v>
      </c>
      <c r="Z66" s="1620"/>
      <c r="AI66" s="1558"/>
    </row>
    <row r="67" spans="1:35" ht="14.25" customHeight="1">
      <c r="A67" s="163" t="s">
        <v>328</v>
      </c>
      <c r="B67" s="164" t="s">
        <v>1389</v>
      </c>
      <c r="C67" s="2351">
        <f ca="1">C63-C66</f>
        <v>26104</v>
      </c>
      <c r="D67" s="160" t="s">
        <v>26</v>
      </c>
      <c r="E67" s="162"/>
      <c r="F67" s="1667"/>
      <c r="G67" s="1667"/>
      <c r="H67" s="149"/>
      <c r="I67" s="119"/>
      <c r="J67" s="3289"/>
      <c r="K67" s="1242" t="s">
        <v>1390</v>
      </c>
      <c r="L67" s="1242">
        <f ca="1">IF(M49&gt;=10000,(8.25+(M49-10000)*0.01%),IF(AND(M49&gt;=8000,M49&lt;10000),(7.85+(M49-8000)*0.02%),IF(AND(M49&gt;=5000,M49&lt;8000),(6.65+(M49-5000)*0.04%),IF(AND(M49&gt;=2000,M49&lt;5000),(4.25+(PM49-2000)*0.08%),IF(AND(M49&gt;=1000,M49&lt;2000),(2.75+(M49-1000)*0.15%),IF(AND(M49&gt;=100,M49&lt;1000),(0.5+(M49-100)*0.25%),IF(AND(M49&gt;0,M49&lt;100),M49*0.5%)))))))</f>
        <v>9.9908999999999999</v>
      </c>
      <c r="M67" s="292">
        <f ca="1">ROUND(L67*0.9,1)</f>
        <v>9</v>
      </c>
      <c r="N67" s="2327"/>
      <c r="Z67" s="1620"/>
      <c r="AI67" s="1558"/>
    </row>
    <row r="68" spans="1:35" ht="14.25" customHeight="1" thickBot="1">
      <c r="A68" s="166" t="s">
        <v>329</v>
      </c>
      <c r="B68" s="167" t="s">
        <v>1391</v>
      </c>
      <c r="C68" s="2352">
        <f ca="1">IF(C67&lt;=0,0,ROUND(C67*D68,0))</f>
        <v>1462</v>
      </c>
      <c r="D68" s="2353">
        <f>'数据-取费表'!B41</f>
        <v>5.6000000000000001E-2</v>
      </c>
      <c r="E68" s="168"/>
      <c r="F68" s="1667"/>
      <c r="G68" s="1667"/>
      <c r="H68" s="149"/>
      <c r="I68" s="119"/>
      <c r="J68" s="3289"/>
      <c r="K68" s="1242" t="s">
        <v>1392</v>
      </c>
      <c r="L68" s="1242">
        <f ca="1">IF(M49&gt;10000,M49*0.5%,IF(AND(M49&gt;5000,M49&lt;=10000),M49*1%,IF(AND(M49&gt;1000,M49&lt;=5000),M49*2%,IF(AND(M49&gt;200,M49&lt;=1000),M49*3%,M49*5%))))</f>
        <v>137.04500000000002</v>
      </c>
      <c r="M68" s="292">
        <f ca="1">ROUND(L68,1)</f>
        <v>137</v>
      </c>
      <c r="N68" s="2327"/>
      <c r="Z68" s="1620"/>
      <c r="AI68" s="1558"/>
    </row>
    <row r="69" spans="1:35" ht="16.5" customHeight="1">
      <c r="A69" s="1669"/>
      <c r="B69" s="1670"/>
      <c r="C69" s="1671"/>
      <c r="D69" s="1672"/>
      <c r="E69" s="1673"/>
      <c r="F69" s="1463"/>
      <c r="G69" s="1463"/>
      <c r="H69" s="1464"/>
      <c r="I69" s="644"/>
      <c r="J69" s="3289"/>
      <c r="K69" s="1242" t="s">
        <v>1393</v>
      </c>
      <c r="L69" s="1242"/>
      <c r="M69" s="292">
        <f ca="1">ROUND(SUM(M63:M68),0)</f>
        <v>448</v>
      </c>
      <c r="N69" s="2329">
        <f ca="1">M69/M49</f>
        <v>1.6344996169141524E-2</v>
      </c>
      <c r="Z69" s="1620"/>
      <c r="AI69" s="1558"/>
    </row>
    <row r="70" spans="1:35" s="640" customFormat="1" ht="14.4" thickBot="1">
      <c r="A70" s="3333" t="s">
        <v>1394</v>
      </c>
      <c r="B70" s="3334"/>
      <c r="C70" s="3334"/>
      <c r="D70" s="3334"/>
      <c r="E70" s="3334"/>
      <c r="F70" s="3334"/>
      <c r="G70" s="3334"/>
      <c r="H70" s="333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25" t="s">
        <v>1375</v>
      </c>
      <c r="B71" s="3326"/>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51">
        <f ca="1">ROUND(D45/(1+'数据-取费表'!C42),0)</f>
        <v>26104</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51">
        <f ca="1">C74+C78</f>
        <v>157</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7">
        <v>0.05</v>
      </c>
      <c r="E76" s="3330" t="s">
        <v>1402</v>
      </c>
      <c r="F76" s="3329"/>
      <c r="G76" s="3329"/>
      <c r="H76" s="333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9">
        <f ca="1">ROUND(D45*D78/(1+'数据-取费表'!C42),0)</f>
        <v>157</v>
      </c>
      <c r="D78" s="2360">
        <f>'数据-取费表'!B43</f>
        <v>6.000000000000001E-3</v>
      </c>
      <c r="E78" s="3322" t="s">
        <v>1406</v>
      </c>
      <c r="F78" s="3323"/>
      <c r="G78" s="3323"/>
      <c r="H78" s="332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51">
        <f ca="1">C72-C73</f>
        <v>25947</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61">
        <f ca="1">IF(C79&lt;=0,0,C79/C73)</f>
        <v>165.26751592356689</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62">
        <f ca="1">ROUND(IF(C79&lt;=0,0,IF(C80&gt;=200%,C79*60%-C73*35%,IF(C80&gt;=100%,C79*50%-C73*15%,IF(C80&gt;=50%,C79*40%-C73*5%,IF(C80&lt;50%,C79*30%,0))))),0)</f>
        <v>15513</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33" t="s">
        <v>1410</v>
      </c>
      <c r="B83" s="3334"/>
      <c r="C83" s="3334"/>
      <c r="D83" s="3334"/>
      <c r="E83" s="3334"/>
      <c r="F83" s="3334"/>
      <c r="G83" s="3334"/>
      <c r="H83" s="333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25" t="s">
        <v>1375</v>
      </c>
      <c r="B84" s="3326"/>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51">
        <f ca="1">ROUND(D45/(1+'数据-取费表'!C42),0)</f>
        <v>26104</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51">
        <f ca="1">IF(H88="仅含出让金",C87+C90+C91+C92+C93+C94,C87+C91+C92+C93+C94)</f>
        <v>157</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5"/>
      <c r="D88" s="2360"/>
      <c r="E88" s="183" t="s">
        <v>1413</v>
      </c>
      <c r="F88" s="2145"/>
      <c r="G88" s="184" t="s">
        <v>1414</v>
      </c>
      <c r="H88" s="1681"/>
      <c r="I88" s="1678"/>
      <c r="J88" s="2305"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9">
        <f>ROUND(C88*D89,0)</f>
        <v>0</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5"/>
      <c r="D90" s="2360"/>
      <c r="E90" s="183" t="str">
        <f>IF(H88="-","土地取得成本中已包含该笔费用"," ")</f>
        <v xml:space="preserve"> </v>
      </c>
      <c r="F90" s="2145"/>
      <c r="G90" s="3291" t="s">
        <v>2129</v>
      </c>
      <c r="H90" s="3292"/>
      <c r="I90" s="1678"/>
      <c r="J90" s="2305"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9">
        <f>IF(H91="——",成本法!C33,I91)</f>
        <v>0</v>
      </c>
      <c r="D91" s="2360"/>
      <c r="E91" s="3322" t="s">
        <v>1419</v>
      </c>
      <c r="F91" s="3323"/>
      <c r="G91" s="332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9">
        <f>ROUND((C87+C90+C91)*D92,0)</f>
        <v>0</v>
      </c>
      <c r="D92" s="2366"/>
      <c r="E92" s="3322" t="s">
        <v>1422</v>
      </c>
      <c r="F92" s="3323"/>
      <c r="G92" s="3323"/>
      <c r="H92" s="3324"/>
      <c r="I92" s="1678"/>
      <c r="J92" s="2306"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9">
        <f ca="1">ROUND(D45*D93/(1+'数据-取费表'!C42),0)</f>
        <v>157</v>
      </c>
      <c r="D93" s="2360">
        <f>'数据-取费表'!B43</f>
        <v>6.000000000000001E-3</v>
      </c>
      <c r="E93" s="3322" t="s">
        <v>1406</v>
      </c>
      <c r="F93" s="3323"/>
      <c r="G93" s="3323"/>
      <c r="H93" s="332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5">
        <f>ROUND((C87+C90+C91)*D94,0)</f>
        <v>0</v>
      </c>
      <c r="D94" s="2360">
        <v>0.2</v>
      </c>
      <c r="E94" s="3367" t="s">
        <v>1426</v>
      </c>
      <c r="F94" s="3368"/>
      <c r="G94" s="3368"/>
      <c r="H94" s="336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51">
        <f ca="1">ROUND(C85-C86,0)</f>
        <v>25947</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61">
        <f ca="1">IF(C95&lt;=0,0,C95/C86)</f>
        <v>165.26751592356689</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62">
        <f ca="1">ROUND(IF(C95&lt;=0,0,IF(C96&gt;=200%,C95*60%-C86*35%,IF(C96&gt;=100%,C95*50%-C86*15%,IF(C96&gt;=50%,C95*40%-C86*5%,IF(C96&lt;50%,C95*30%,0))))),0)</f>
        <v>15513</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70" t="s">
        <v>1428</v>
      </c>
      <c r="B100" s="3271"/>
      <c r="C100" s="3271"/>
      <c r="D100" s="3307"/>
      <c r="E100" s="3271" t="s">
        <v>1429</v>
      </c>
      <c r="F100" s="3271"/>
      <c r="G100" s="3271"/>
      <c r="H100" s="3307"/>
      <c r="I100" s="119"/>
    </row>
    <row r="101" spans="1:35" ht="18.75" customHeight="1">
      <c r="A101" s="3315" t="s">
        <v>1430</v>
      </c>
      <c r="B101" s="3316"/>
      <c r="C101" s="2368" t="str">
        <f>C4</f>
        <v>成本法</v>
      </c>
      <c r="D101" s="2369" t="str">
        <f>D4</f>
        <v>收益法（汇总）</v>
      </c>
      <c r="E101" s="3285" t="s">
        <v>1431</v>
      </c>
      <c r="F101" s="3286"/>
      <c r="G101" s="1684" t="s">
        <v>1432</v>
      </c>
      <c r="H101" s="2378">
        <f ca="1">H118</f>
        <v>27409</v>
      </c>
      <c r="I101" s="119"/>
    </row>
    <row r="102" spans="1:35" ht="18.75" customHeight="1">
      <c r="A102" s="3317" t="s">
        <v>1433</v>
      </c>
      <c r="B102" s="2367" t="s">
        <v>1432</v>
      </c>
      <c r="C102" s="2368">
        <f ca="1">IF(D32="楼面单价",ROUND(C19,0),C19)</f>
        <v>39230</v>
      </c>
      <c r="D102" s="2369">
        <f ca="1">IF(D32="楼面单价",ROUND(D19,0),D19)</f>
        <v>19529</v>
      </c>
      <c r="E102" s="3285"/>
      <c r="F102" s="3286"/>
      <c r="G102" s="1684" t="s">
        <v>1434</v>
      </c>
      <c r="H102" s="2338">
        <f ca="1">I118</f>
        <v>12487</v>
      </c>
      <c r="I102" s="119"/>
    </row>
    <row r="103" spans="1:35" ht="42.75" customHeight="1">
      <c r="A103" s="3317"/>
      <c r="B103" s="2367" t="s">
        <v>1434</v>
      </c>
      <c r="C103" s="2370">
        <f ca="1">C20</f>
        <v>17873</v>
      </c>
      <c r="D103" s="2371">
        <f ca="1">D20</f>
        <v>8897</v>
      </c>
      <c r="E103" s="3278" t="s">
        <v>1435</v>
      </c>
      <c r="F103" s="3279"/>
      <c r="G103" s="1685" t="s">
        <v>1436</v>
      </c>
      <c r="H103" s="2378">
        <f>IF(D36="正常操作",H104+H105+H106,H105+H106)</f>
        <v>0</v>
      </c>
      <c r="I103" s="119"/>
    </row>
    <row r="104" spans="1:35" ht="18.75" customHeight="1">
      <c r="A104" s="3317" t="s">
        <v>1437</v>
      </c>
      <c r="B104" s="2372" t="s">
        <v>1432</v>
      </c>
      <c r="C104" s="2373">
        <f ca="1">H118</f>
        <v>27409</v>
      </c>
      <c r="D104" s="2374"/>
      <c r="E104" s="1552" t="s">
        <v>1438</v>
      </c>
      <c r="F104" s="1545"/>
      <c r="G104" s="1685" t="s">
        <v>1436</v>
      </c>
      <c r="H104" s="2379">
        <f>IF(D36="同一抵押权人同一抵押物续贷",C36&amp;"（续贷，未扣减，详见特别提示）",C36)</f>
        <v>0</v>
      </c>
      <c r="I104" s="119"/>
    </row>
    <row r="105" spans="1:35" ht="18.75" customHeight="1" thickBot="1">
      <c r="A105" s="3327"/>
      <c r="B105" s="2375" t="s">
        <v>1434</v>
      </c>
      <c r="C105" s="2376">
        <f ca="1">I118</f>
        <v>12487</v>
      </c>
      <c r="D105" s="2377"/>
      <c r="E105" s="1552" t="s">
        <v>1439</v>
      </c>
      <c r="F105" s="1545"/>
      <c r="G105" s="1685" t="s">
        <v>1436</v>
      </c>
      <c r="H105" s="2380">
        <f>C37</f>
        <v>0</v>
      </c>
      <c r="I105" s="119"/>
    </row>
    <row r="106" spans="1:35" ht="18.75" customHeight="1">
      <c r="A106" s="644" t="s">
        <v>1440</v>
      </c>
      <c r="B106" s="644"/>
      <c r="C106" s="644"/>
      <c r="D106" s="644"/>
      <c r="E106" s="1686" t="s">
        <v>1441</v>
      </c>
      <c r="F106" s="1545"/>
      <c r="G106" s="1685" t="s">
        <v>1436</v>
      </c>
      <c r="H106" s="2380">
        <f>C38</f>
        <v>0</v>
      </c>
      <c r="I106" s="119"/>
    </row>
    <row r="107" spans="1:35" ht="18.75" customHeight="1">
      <c r="A107" s="119"/>
      <c r="B107" s="119"/>
      <c r="C107" s="119"/>
      <c r="D107" s="119"/>
      <c r="E107" s="3318" t="str">
        <f>IF(项目基本情况!E8="已注销","——","3.房地产抵押价值")</f>
        <v>3.房地产抵押价值</v>
      </c>
      <c r="F107" s="3286"/>
      <c r="G107" s="1684" t="s">
        <v>1432</v>
      </c>
      <c r="H107" s="2378">
        <f ca="1">IF(E107="——","——",H101-H103)</f>
        <v>27409</v>
      </c>
      <c r="I107" s="119"/>
    </row>
    <row r="108" spans="1:35" ht="18.75" customHeight="1">
      <c r="A108" s="119"/>
      <c r="B108" s="119"/>
      <c r="C108" s="119"/>
      <c r="D108" s="119"/>
      <c r="E108" s="3318"/>
      <c r="F108" s="3286"/>
      <c r="G108" s="1684" t="s">
        <v>1434</v>
      </c>
      <c r="H108" s="2338">
        <f ca="1">IF(H107=H101,H102,ROUND(H107*10000/'数据-汇总表'!E3,0))</f>
        <v>12487</v>
      </c>
      <c r="I108" s="119"/>
    </row>
    <row r="109" spans="1:35" ht="18.75" customHeight="1">
      <c r="A109" s="119"/>
      <c r="B109" s="119"/>
      <c r="C109" s="119"/>
      <c r="D109" s="119"/>
      <c r="E109" s="3318" t="str">
        <f>IF(项目基本情况!E8="已注销及未注销","4.抵押担保权已注销时的房地产抵押价值",IF(项目基本情况!E8="已注销","3.抵押担保权已注销时的房地产抵押价值","——"))</f>
        <v>——</v>
      </c>
      <c r="F109" s="3286"/>
      <c r="G109" s="1684" t="s">
        <v>1432</v>
      </c>
      <c r="H109" s="2381" t="str">
        <f>IF(E109="——","——",H101-H105-H106)</f>
        <v>——</v>
      </c>
      <c r="I109" s="119"/>
    </row>
    <row r="110" spans="1:35" ht="18.75" customHeight="1">
      <c r="A110" s="119"/>
      <c r="B110" s="119"/>
      <c r="C110" s="119"/>
      <c r="D110" s="119"/>
      <c r="E110" s="3318"/>
      <c r="F110" s="3286"/>
      <c r="G110" s="1684" t="s">
        <v>1434</v>
      </c>
      <c r="H110" s="2338" t="str">
        <f>IF(H109="——","——",ROUND(H109*10000/'数据-汇总表'!E3,0))</f>
        <v>——</v>
      </c>
      <c r="I110" s="119"/>
    </row>
    <row r="111" spans="1:35" ht="18.75" customHeight="1">
      <c r="A111" s="119"/>
      <c r="B111" s="119"/>
      <c r="C111" s="119"/>
      <c r="D111" s="119"/>
      <c r="E111" s="3319" t="str">
        <f>IF(项目基本情况!E9="抵押净值",IF(OR(项目基本情况!E8="已注销",项目基本情况!E8="房地产抵押价值"),"4.抵押净值","5.抵押净值"),"——")</f>
        <v>4.抵押净值</v>
      </c>
      <c r="F111" s="3305"/>
      <c r="G111" s="1684" t="s">
        <v>1432</v>
      </c>
      <c r="H111" s="2378">
        <f ca="1">IF(E111="——","——",N59)</f>
        <v>10420</v>
      </c>
      <c r="I111" s="119"/>
    </row>
    <row r="112" spans="1:35" ht="18.75" customHeight="1" thickBot="1">
      <c r="A112" s="119"/>
      <c r="B112" s="119"/>
      <c r="C112" s="119"/>
      <c r="D112" s="119"/>
      <c r="E112" s="3320"/>
      <c r="F112" s="3321"/>
      <c r="G112" s="1687" t="s">
        <v>1434</v>
      </c>
      <c r="H112" s="2382">
        <f ca="1">IF(E111="——","——",N61)</f>
        <v>4747</v>
      </c>
      <c r="I112" s="119"/>
    </row>
    <row r="113" spans="1:27" ht="18.75" customHeight="1">
      <c r="A113" s="119"/>
      <c r="B113" s="119"/>
      <c r="C113" s="119"/>
      <c r="D113" s="119"/>
      <c r="E113" s="3328" t="s">
        <v>1440</v>
      </c>
      <c r="F113" s="3328"/>
      <c r="G113" s="3328"/>
      <c r="H113" s="3328"/>
      <c r="I113" s="119"/>
    </row>
    <row r="114" spans="1:27" ht="3.75" customHeight="1">
      <c r="A114" s="644"/>
      <c r="B114" s="644"/>
      <c r="C114" s="644"/>
      <c r="D114" s="644"/>
      <c r="E114" s="1668"/>
      <c r="F114" s="1668"/>
      <c r="G114" s="1668"/>
      <c r="H114" s="1668"/>
      <c r="I114" s="644"/>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7" t="s">
        <v>1449</v>
      </c>
      <c r="E117" s="2147" t="s">
        <v>1450</v>
      </c>
      <c r="F117" s="2147" t="s">
        <v>1449</v>
      </c>
      <c r="G117" s="2147" t="s">
        <v>1451</v>
      </c>
      <c r="H117" s="2147" t="s">
        <v>1449</v>
      </c>
      <c r="I117" s="2147" t="s">
        <v>1451</v>
      </c>
    </row>
    <row r="118" spans="1:27" ht="24.75" customHeight="1">
      <c r="A118" s="2383" t="str">
        <f>项目基本情况!S2</f>
        <v>房地产</v>
      </c>
      <c r="B118" s="2147">
        <f>M18</f>
        <v>21949.910000000098</v>
      </c>
      <c r="C118" s="2147">
        <f>M19</f>
        <v>0</v>
      </c>
      <c r="D118" s="2147">
        <f ca="1">ROUND(IF(D32="总价",C34,E118*B118/10000),0)</f>
        <v>18172</v>
      </c>
      <c r="E118" s="2147">
        <f ca="1">ROUND(IF(C33="自定义",IF(D32="楼面单价",C34,D118*10000/B118),I118-G118),0)</f>
        <v>8279</v>
      </c>
      <c r="F118" s="2147">
        <f ca="1">ROUND(IF(D32="总价",C35,G118*B118/10000),0)</f>
        <v>9237</v>
      </c>
      <c r="G118" s="2147">
        <f ca="1">ROUND(IF(D32="楼面单价",C35,F118*10000/B118),0)</f>
        <v>4208</v>
      </c>
      <c r="H118" s="2147">
        <f ca="1">ROUND(IF(D32="总价",C32,I118*B118/10000),0)</f>
        <v>27409</v>
      </c>
      <c r="I118" s="2147">
        <f ca="1">ROUND(IF(D32="楼面单价",C32,H118*10000/B118),0)</f>
        <v>12487</v>
      </c>
    </row>
    <row r="119" spans="1:27" ht="18.75" customHeight="1">
      <c r="A119" s="3293" t="s">
        <v>1452</v>
      </c>
      <c r="B119" s="3293"/>
      <c r="C119" s="3293"/>
      <c r="D119" s="3299" t="str">
        <f ca="1">NUMBERSTRING(INT(D118*10000),2)&amp;"元整"</f>
        <v>壹亿捌仟壹佰柒拾贰万元整</v>
      </c>
      <c r="E119" s="3300"/>
      <c r="F119" s="3299" t="str">
        <f ca="1">NUMBERSTRING(INT(F118*10000),2)&amp;"元整"</f>
        <v>玖仟贰佰叁拾柒万元整</v>
      </c>
      <c r="G119" s="3300"/>
      <c r="H119" s="3299" t="str">
        <f ca="1">NUMBERSTRING(INT(H118*10000),2)&amp;"元整"</f>
        <v>贰亿柒仟肆佰零玖万元整</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9" t="s">
        <v>1452</v>
      </c>
      <c r="B121" s="3301"/>
      <c r="C121" s="3300"/>
      <c r="D121" s="3299" t="str">
        <f>IF(D120=0,"零元整",NUMBERSTRING(INT(D120*10000),2)&amp;"元整")</f>
        <v>零元整</v>
      </c>
      <c r="E121" s="3301"/>
      <c r="F121" s="3301"/>
      <c r="G121" s="3301"/>
      <c r="H121" s="3301"/>
      <c r="I121" s="3300"/>
      <c r="AA121" s="682"/>
    </row>
    <row r="122" spans="1:27" ht="18.75" customHeight="1">
      <c r="A122" s="3305" t="str">
        <f>IF(项目基本情况!B9="房地产市场价值","",MID(E107,3,LEN(E107)-2))</f>
        <v>房地产抵押价值</v>
      </c>
      <c r="B122" s="3305"/>
      <c r="C122" s="3305"/>
      <c r="D122" s="3294">
        <f ca="1">H107</f>
        <v>27409</v>
      </c>
      <c r="E122" s="3295"/>
      <c r="F122" s="3295"/>
      <c r="G122" s="3295"/>
      <c r="H122" s="3295"/>
      <c r="I122" s="3296"/>
      <c r="AA122" s="682"/>
    </row>
    <row r="123" spans="1:27" ht="18.75" customHeight="1">
      <c r="A123" s="3293" t="s">
        <v>1452</v>
      </c>
      <c r="B123" s="3293"/>
      <c r="C123" s="3293"/>
      <c r="D123" s="3299" t="str">
        <f ca="1">NUMBERSTRING(INT(D122*10000),2)&amp;"元整"</f>
        <v>贰亿柒仟肆佰零玖万元整</v>
      </c>
      <c r="E123" s="3301"/>
      <c r="F123" s="3301"/>
      <c r="G123" s="3301"/>
      <c r="H123" s="3301"/>
      <c r="I123" s="3300"/>
      <c r="AA123" s="682"/>
    </row>
    <row r="124" spans="1:27" ht="18.75" customHeight="1">
      <c r="A124" s="3305" t="str">
        <f>IF(项目基本情况!B9="房地产市场价值","",MID(E109,3,LEN(E109)-2))</f>
        <v/>
      </c>
      <c r="B124" s="3305"/>
      <c r="C124" s="3305"/>
      <c r="D124" s="3294" t="str">
        <f>H109</f>
        <v>——</v>
      </c>
      <c r="E124" s="3295"/>
      <c r="F124" s="3295"/>
      <c r="G124" s="3295"/>
      <c r="H124" s="3295"/>
      <c r="I124" s="3296"/>
      <c r="AA124" s="682"/>
    </row>
    <row r="125" spans="1:27" ht="18.75" customHeight="1">
      <c r="A125" s="3293" t="s">
        <v>1452</v>
      </c>
      <c r="B125" s="3293"/>
      <c r="C125" s="3293"/>
      <c r="D125" s="3299" t="e">
        <f>NUMBERSTRING(INT(D124*10000),2)&amp;"元整"</f>
        <v>#VALUE!</v>
      </c>
      <c r="E125" s="3301"/>
      <c r="F125" s="3301"/>
      <c r="G125" s="3301"/>
      <c r="H125" s="3301"/>
      <c r="I125" s="3300"/>
      <c r="AA125" s="682"/>
    </row>
    <row r="126" spans="1:27" ht="18.75" customHeight="1">
      <c r="A126" s="3305" t="str">
        <f>IF(项目基本情况!B9="房地产市场价值","",MID(E111,3,LEN(E111)-2))</f>
        <v>抵押净值</v>
      </c>
      <c r="B126" s="3305"/>
      <c r="C126" s="3305"/>
      <c r="D126" s="3294">
        <f ca="1">H111</f>
        <v>10420</v>
      </c>
      <c r="E126" s="3295"/>
      <c r="F126" s="3295"/>
      <c r="G126" s="3295"/>
      <c r="H126" s="3295"/>
      <c r="I126" s="3296"/>
      <c r="AA126" s="682"/>
    </row>
    <row r="127" spans="1:27" ht="18.75" customHeight="1">
      <c r="A127" s="3293" t="s">
        <v>1452</v>
      </c>
      <c r="B127" s="3293"/>
      <c r="C127" s="3293"/>
      <c r="D127" s="3299" t="str">
        <f ca="1">NUMBERSTRING(INT(D126*10000),2)&amp;"元整"</f>
        <v>壹亿零肆佰贰拾万元整</v>
      </c>
      <c r="E127" s="3301"/>
      <c r="F127" s="3301"/>
      <c r="G127" s="3301"/>
      <c r="H127" s="3301"/>
      <c r="I127" s="3300"/>
      <c r="AA127" s="682"/>
    </row>
    <row r="128" spans="1:27" ht="21.75" customHeight="1">
      <c r="A128" s="3302" t="s">
        <v>1453</v>
      </c>
      <c r="B128" s="3302"/>
      <c r="C128" s="3302"/>
      <c r="D128" s="3302"/>
      <c r="E128" s="3302"/>
      <c r="F128" s="3302"/>
      <c r="G128" s="3302"/>
      <c r="H128" s="3302"/>
      <c r="I128" s="330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10" stopIfTrue="1" operator="equal">
      <formula>25</formula>
    </cfRule>
  </conditionalFormatting>
  <conditionalFormatting sqref="C8:D13">
    <cfRule type="cellIs" dxfId="111" priority="8" stopIfTrue="1" operator="equal">
      <formula>15</formula>
    </cfRule>
  </conditionalFormatting>
  <conditionalFormatting sqref="C14:D16">
    <cfRule type="cellIs" dxfId="110" priority="6" stopIfTrue="1" operator="equal">
      <formula>30</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88" t="str">
        <f>项目基本情况!B1</f>
        <v>房地产抵押价值预评估</v>
      </c>
      <c r="C37" s="3188"/>
      <c r="D37" s="3188"/>
      <c r="E37" s="3188"/>
      <c r="F37" s="3188"/>
      <c r="G37" s="3188"/>
      <c r="H37" s="3188"/>
      <c r="I37" s="3188"/>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郑燚（注册号：1120070131)、崔锴（注册号：0)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tabSelected="1" view="pageBreakPreview" topLeftCell="A19" zoomScaleNormal="80" zoomScaleSheetLayoutView="100" workbookViewId="0">
      <selection activeCell="E3" sqref="E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6" t="s">
        <v>1926</v>
      </c>
      <c r="B1" s="187"/>
      <c r="C1" s="191" t="s">
        <v>1927</v>
      </c>
      <c r="D1" s="331">
        <f>SUM(D33:D34,D37:D42)</f>
        <v>20633.450000000099</v>
      </c>
      <c r="E1" s="1839"/>
      <c r="F1" s="1839"/>
      <c r="G1" s="1839"/>
      <c r="H1" s="1839"/>
      <c r="I1" s="1839"/>
      <c r="J1" s="1839"/>
      <c r="K1" s="1053"/>
      <c r="L1" s="1840" t="s">
        <v>1928</v>
      </c>
      <c r="M1" s="807">
        <f>SUMPRODUCT((区片价!B5:B9=I2)*(区片价!C3:G3=E2)*(区片价!C5:G9))</f>
        <v>32630</v>
      </c>
      <c r="N1" s="810">
        <f>SUMPRODUCT((因素修正幅度!B5:B9=I2)*(因素修正幅度!C3:G3=E2)*(因素修正幅度!C5:G9))</f>
        <v>8.1000000000000003E-2</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1" t="s">
        <v>1934</v>
      </c>
      <c r="B2" s="194">
        <f>C30</f>
        <v>18959</v>
      </c>
      <c r="C2" s="1843" t="s">
        <v>1935</v>
      </c>
      <c r="D2" s="160" t="s">
        <v>1936</v>
      </c>
      <c r="E2" s="3117" t="s">
        <v>673</v>
      </c>
      <c r="F2" s="160" t="s">
        <v>1937</v>
      </c>
      <c r="G2" s="161" t="str">
        <f>IF(E2="商业",项目基本情况!B37,IF(E2="办公",项目基本情况!C37,IF(E2="住宅",项目基本情况!D37,IF(E2="工业",项目基本情况!E37,项目基本情况!F37))))</f>
        <v>一级</v>
      </c>
      <c r="H2" s="160" t="s">
        <v>1938</v>
      </c>
      <c r="I2" s="161" t="str">
        <f>IF(E2="商业",项目基本情况!B38,IF(E2="办公",项目基本情况!C38,IF(E2="住宅",项目基本情况!D38,IF(E2="工业",项目基本情况!E38,项目基本情况!F38))))</f>
        <v>Ⅰ—04</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60">
        <f>ROUND(SUMPRODUCT((B106:B110=R2)*(C105:N105=G2)*(C106:N110)),4)</f>
        <v>1.5206</v>
      </c>
      <c r="T2" s="3060">
        <f t="shared" ref="T2:T16" si="0">ROUND($C$5*$C$22*$C$23*$C$24*S2*$C$28,0)</f>
        <v>35640</v>
      </c>
      <c r="U2" s="1127"/>
      <c r="V2" s="3060">
        <f>ROUND(T2*U2/10000,0)</f>
        <v>0</v>
      </c>
      <c r="W2" s="1130"/>
      <c r="X2" s="1130"/>
      <c r="Y2" s="1130"/>
      <c r="Z2" s="1130"/>
      <c r="AA2" s="1130"/>
      <c r="AB2" s="1130"/>
      <c r="AC2" s="1131"/>
      <c r="AD2" s="1132"/>
      <c r="AE2" s="1132"/>
      <c r="AF2" s="1132"/>
      <c r="AG2" s="1132"/>
      <c r="AH2" s="1132"/>
      <c r="AI2" s="1132"/>
      <c r="AJ2" s="1133"/>
    </row>
    <row r="3" spans="1:36" ht="15.6">
      <c r="A3" s="193" t="s">
        <v>1940</v>
      </c>
      <c r="B3" s="194">
        <f>ROUND(B2*10000/D1,0)</f>
        <v>9188</v>
      </c>
      <c r="C3" s="1843" t="s">
        <v>1941</v>
      </c>
      <c r="D3" s="160" t="s">
        <v>1942</v>
      </c>
      <c r="E3" s="3115" t="s">
        <v>2435</v>
      </c>
      <c r="F3" s="1845" t="s">
        <v>3442</v>
      </c>
      <c r="G3" s="705">
        <f>IF(F3="宗地容积率",'数据-汇总表'!I4,IF(F3="估价对象容积率",'数据-汇总表'!I6,'数据-汇总表'!I7))</f>
        <v>3.5</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0">
        <f>ROUND(SUMPRODUCT((B106:B110=R3)*(C105:N105=G2)*(C106:N110)),4)</f>
        <v>1.2072000000000001</v>
      </c>
      <c r="T3" s="3060">
        <f t="shared" si="0"/>
        <v>28295</v>
      </c>
      <c r="U3" s="1127"/>
      <c r="V3" s="3060">
        <f t="shared" ref="V3:V16" si="1">ROUND(T3*U3/10000,0)</f>
        <v>0</v>
      </c>
      <c r="W3" s="1130"/>
      <c r="X3" s="1130"/>
      <c r="Y3" s="1130"/>
      <c r="Z3" s="1130"/>
      <c r="AA3" s="1130"/>
      <c r="AB3" s="1130"/>
      <c r="AC3" s="1131"/>
      <c r="AD3" s="1132"/>
      <c r="AE3" s="1132"/>
      <c r="AF3" s="1132"/>
      <c r="AG3" s="1132"/>
      <c r="AH3" s="1132"/>
      <c r="AI3" s="1132"/>
      <c r="AJ3" s="1133"/>
    </row>
    <row r="4" spans="1:36" ht="15.6">
      <c r="A4" s="3379"/>
      <c r="B4" s="3380"/>
      <c r="C4" s="3380"/>
      <c r="D4" s="3381"/>
      <c r="E4" s="3381"/>
      <c r="F4" s="3381"/>
      <c r="G4" s="3381"/>
      <c r="H4" s="3381"/>
      <c r="I4" s="3381"/>
      <c r="J4" s="3382"/>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0">
        <f>ROUND(SUMPRODUCT((B106:B110=R4)*(C105:N105=G2)*(C106:N110)),4)</f>
        <v>1.0430999999999999</v>
      </c>
      <c r="T4" s="3060">
        <f t="shared" si="0"/>
        <v>24448</v>
      </c>
      <c r="U4" s="1127"/>
      <c r="V4" s="3060">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32613</v>
      </c>
      <c r="D5" s="1249">
        <f>ROUND(C6*C17+C20,0)</f>
        <v>32613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0">
        <f>ROUND(SUMPRODUCT((B106:B110=R5)*(C105:N105=G2)*(C106:N110)),4)</f>
        <v>0.94389999999999996</v>
      </c>
      <c r="T5" s="3060">
        <f t="shared" si="0"/>
        <v>22123</v>
      </c>
      <c r="U5" s="1127"/>
      <c r="V5" s="3060">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32630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0">
        <f>ROUND(SUMPRODUCT((B106:B110=R6)*(C105:N105=G2)*(C106:N110)),4)</f>
        <v>0.89959999999999996</v>
      </c>
      <c r="T6" s="3060">
        <f t="shared" si="0"/>
        <v>21085</v>
      </c>
      <c r="U6" s="1127"/>
      <c r="V6" s="3060">
        <f t="shared" si="1"/>
        <v>0</v>
      </c>
      <c r="W6" s="1130"/>
      <c r="X6" s="1130"/>
      <c r="Y6" s="1130"/>
      <c r="Z6" s="1130"/>
      <c r="AA6" s="1130"/>
      <c r="AB6" s="1130"/>
      <c r="AC6" s="1852"/>
      <c r="AD6" s="1853"/>
      <c r="AE6" s="1853"/>
      <c r="AF6" s="1853"/>
      <c r="AG6" s="1853"/>
      <c r="AH6" s="1853"/>
      <c r="AI6" s="1853"/>
      <c r="AJ6" s="1854"/>
    </row>
    <row r="7" spans="1:36" ht="24.6" thickBot="1">
      <c r="A7" s="3009"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4">
        <v>0.89219999999999999</v>
      </c>
      <c r="T7" s="3060">
        <f t="shared" si="0"/>
        <v>20912</v>
      </c>
      <c r="U7" s="1127"/>
      <c r="V7" s="3060">
        <f t="shared" si="1"/>
        <v>0</v>
      </c>
      <c r="W7" s="1264" t="s">
        <v>1955</v>
      </c>
      <c r="X7" s="1128" t="str">
        <f>G2</f>
        <v>一级</v>
      </c>
      <c r="Y7" s="1128" t="s">
        <v>1956</v>
      </c>
      <c r="Z7" s="1129">
        <f>G3</f>
        <v>3.5</v>
      </c>
      <c r="AA7" s="1130"/>
      <c r="AB7" s="1130"/>
      <c r="AC7" s="1131"/>
      <c r="AD7" s="1132"/>
      <c r="AE7" s="1132"/>
      <c r="AF7" s="1132"/>
      <c r="AG7" s="1132"/>
      <c r="AH7" s="1132"/>
      <c r="AI7" s="1132"/>
      <c r="AJ7" s="1133"/>
    </row>
    <row r="8" spans="1:36" ht="26.4">
      <c r="A8" s="3006"/>
      <c r="B8" s="160"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60">
        <f t="shared" si="0"/>
        <v>20895</v>
      </c>
      <c r="U8" s="1127"/>
      <c r="V8" s="3060">
        <f t="shared" si="1"/>
        <v>0</v>
      </c>
      <c r="W8" s="3376" t="s">
        <v>1960</v>
      </c>
      <c r="X8" s="3377"/>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6"/>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60">
        <f t="shared" si="0"/>
        <v>20874</v>
      </c>
      <c r="U9" s="1127"/>
      <c r="V9" s="3060">
        <f t="shared" si="1"/>
        <v>0</v>
      </c>
      <c r="W9" s="3378"/>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60">
        <f t="shared" si="0"/>
        <v>20853</v>
      </c>
      <c r="U10" s="1127"/>
      <c r="V10" s="3060">
        <f t="shared" si="1"/>
        <v>0</v>
      </c>
      <c r="W10" s="337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60">
        <f t="shared" si="0"/>
        <v>20827</v>
      </c>
      <c r="U11" s="1127"/>
      <c r="V11" s="3060">
        <f t="shared" si="1"/>
        <v>0</v>
      </c>
      <c r="W11" s="1130"/>
      <c r="X11" s="1130"/>
      <c r="Y11" s="1130"/>
      <c r="Z11" s="1130"/>
      <c r="AA11" s="1130"/>
      <c r="AB11" s="1130"/>
      <c r="AC11" s="1131"/>
      <c r="AD11" s="2550"/>
      <c r="AE11" s="2550"/>
      <c r="AF11" s="2550"/>
      <c r="AG11" s="2550"/>
      <c r="AH11" s="2550"/>
      <c r="AI11" s="2550"/>
      <c r="AJ11" s="2551"/>
    </row>
    <row r="12" spans="1:36" ht="25.8" thickBot="1">
      <c r="A12" s="3009" t="s">
        <v>3234</v>
      </c>
      <c r="B12" s="3010" t="s">
        <v>3235</v>
      </c>
      <c r="C12" s="3011"/>
      <c r="D12" s="3012" t="s">
        <v>3236</v>
      </c>
      <c r="E12" s="3013" t="s">
        <v>3237</v>
      </c>
      <c r="F12" s="3014"/>
      <c r="G12" s="3015"/>
      <c r="H12" s="3015"/>
      <c r="I12" s="3015"/>
      <c r="J12" s="3016"/>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60">
        <f t="shared" si="0"/>
        <v>20799</v>
      </c>
      <c r="U12" s="1127"/>
      <c r="V12" s="3060">
        <f t="shared" si="1"/>
        <v>0</v>
      </c>
      <c r="W12" s="1130"/>
      <c r="X12" s="1130"/>
      <c r="Y12" s="1130"/>
      <c r="Z12" s="1130"/>
      <c r="AA12" s="1130"/>
      <c r="AB12" s="1130"/>
      <c r="AC12" s="1131"/>
      <c r="AD12" s="2550"/>
      <c r="AE12" s="2550"/>
      <c r="AF12" s="2550"/>
      <c r="AG12" s="2550"/>
      <c r="AH12" s="2550"/>
      <c r="AI12" s="2550"/>
      <c r="AJ12" s="2551"/>
    </row>
    <row r="13" spans="1:36" ht="24.6" thickBot="1">
      <c r="A13" s="3009" t="s">
        <v>3238</v>
      </c>
      <c r="B13" s="1875" t="s">
        <v>1982</v>
      </c>
      <c r="C13" s="708">
        <f>ROUND(C16*D16*E16*F16*G16*H16*I16*J16,4)</f>
        <v>0</v>
      </c>
      <c r="D13" s="1876" t="s">
        <v>1983</v>
      </c>
      <c r="E13" s="1877"/>
      <c r="F13" s="1877"/>
      <c r="G13" s="1878"/>
      <c r="H13" s="1878"/>
      <c r="I13" s="1878"/>
      <c r="J13" s="1879"/>
      <c r="K13" s="1053"/>
      <c r="L13" s="3"/>
      <c r="M13" s="4"/>
      <c r="N13" s="3007"/>
      <c r="O13" s="1053"/>
      <c r="P13" s="1053"/>
      <c r="Q13" s="1053"/>
      <c r="R13" s="1126">
        <v>12</v>
      </c>
      <c r="S13" s="1127">
        <v>0.8861</v>
      </c>
      <c r="T13" s="3060">
        <f t="shared" si="0"/>
        <v>20769</v>
      </c>
      <c r="U13" s="1127"/>
      <c r="V13" s="3060">
        <f t="shared" si="1"/>
        <v>0</v>
      </c>
      <c r="W13" s="1130"/>
      <c r="X13" s="1130"/>
      <c r="Y13" s="1130"/>
      <c r="Z13" s="1130"/>
      <c r="AA13" s="1130"/>
      <c r="AB13" s="1130"/>
      <c r="AC13" s="1131"/>
      <c r="AD13" s="2550"/>
      <c r="AE13" s="2550"/>
      <c r="AF13" s="2550"/>
      <c r="AG13" s="2550"/>
      <c r="AH13" s="2550"/>
      <c r="AI13" s="2550"/>
      <c r="AJ13" s="2551"/>
    </row>
    <row r="14" spans="1:36" ht="24">
      <c r="A14" s="3005"/>
      <c r="B14" s="1880" t="s">
        <v>1985</v>
      </c>
      <c r="C14" s="1881" t="s">
        <v>1986</v>
      </c>
      <c r="D14" s="1258" t="s">
        <v>1987</v>
      </c>
      <c r="E14" s="27" t="s">
        <v>1988</v>
      </c>
      <c r="F14" s="3017" t="s">
        <v>3239</v>
      </c>
      <c r="G14" s="3017" t="s">
        <v>3239</v>
      </c>
      <c r="H14" s="3017" t="s">
        <v>3239</v>
      </c>
      <c r="I14" s="3017" t="s">
        <v>3239</v>
      </c>
      <c r="J14" s="3017" t="s">
        <v>3239</v>
      </c>
      <c r="K14" s="1053"/>
      <c r="L14" s="1053"/>
      <c r="M14" s="1053"/>
      <c r="N14" s="1053"/>
      <c r="O14" s="1053"/>
      <c r="P14" s="1053"/>
      <c r="Q14" s="1053"/>
      <c r="R14" s="1126">
        <v>13</v>
      </c>
      <c r="S14" s="1127">
        <v>0.88470000000000004</v>
      </c>
      <c r="T14" s="3060">
        <f t="shared" si="0"/>
        <v>20736</v>
      </c>
      <c r="U14" s="1127"/>
      <c r="V14" s="3060">
        <f t="shared" si="1"/>
        <v>0</v>
      </c>
      <c r="W14" s="1130"/>
      <c r="X14" s="1130"/>
      <c r="Y14" s="1130"/>
      <c r="Z14" s="1130"/>
      <c r="AA14" s="1130"/>
      <c r="AB14" s="1130"/>
      <c r="AC14" s="1131"/>
      <c r="AD14" s="2550"/>
      <c r="AE14" s="2550"/>
      <c r="AF14" s="2550"/>
      <c r="AG14" s="2550"/>
      <c r="AH14" s="2550"/>
      <c r="AI14" s="2550"/>
      <c r="AJ14" s="2551"/>
    </row>
    <row r="15" spans="1:36" ht="15">
      <c r="A15" s="3005"/>
      <c r="B15" s="1882"/>
      <c r="C15" s="1883"/>
      <c r="D15" s="1884"/>
      <c r="E15" s="1885"/>
      <c r="F15" s="1467" t="s">
        <v>3240</v>
      </c>
      <c r="G15" s="1925"/>
      <c r="H15" s="3018"/>
      <c r="I15" s="3019"/>
      <c r="J15" s="3020"/>
      <c r="K15" s="1053"/>
      <c r="L15" s="1053"/>
      <c r="M15" s="1053"/>
      <c r="N15" s="1053"/>
      <c r="O15" s="1053"/>
      <c r="P15" s="1053"/>
      <c r="Q15" s="1053"/>
      <c r="R15" s="1126">
        <v>14</v>
      </c>
      <c r="S15" s="1127">
        <v>0.8831</v>
      </c>
      <c r="T15" s="3060">
        <f t="shared" si="0"/>
        <v>20698</v>
      </c>
      <c r="U15" s="1127"/>
      <c r="V15" s="3060">
        <f t="shared" si="1"/>
        <v>0</v>
      </c>
      <c r="W15" s="1130"/>
      <c r="X15" s="1130"/>
      <c r="Y15" s="1130"/>
      <c r="Z15" s="1130"/>
      <c r="AA15" s="1130"/>
      <c r="AB15" s="1130"/>
      <c r="AC15" s="1131"/>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3"/>
      <c r="L16" s="1841"/>
      <c r="M16" s="1841"/>
      <c r="N16" s="1841"/>
      <c r="O16" s="1841"/>
      <c r="P16" s="1841"/>
      <c r="Q16" s="1053"/>
      <c r="R16" s="1126">
        <v>15</v>
      </c>
      <c r="S16" s="1127">
        <v>0.88149999999999995</v>
      </c>
      <c r="T16" s="3060">
        <f t="shared" si="0"/>
        <v>20661</v>
      </c>
      <c r="U16" s="1127">
        <f>'数据-基础表'!I13</f>
        <v>1316.46</v>
      </c>
      <c r="V16" s="3060">
        <f t="shared" si="1"/>
        <v>2720</v>
      </c>
      <c r="W16" s="1130"/>
      <c r="X16" s="1130"/>
      <c r="Y16" s="1130"/>
      <c r="Z16" s="1130"/>
      <c r="AA16" s="1130"/>
      <c r="AB16" s="1130"/>
      <c r="AC16" s="1131"/>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5"/>
      <c r="B18" s="2307"/>
      <c r="C18" s="3031"/>
      <c r="D18" s="3026" t="s">
        <v>3244</v>
      </c>
      <c r="E18" s="2354"/>
      <c r="F18" s="3027" t="s">
        <v>3247</v>
      </c>
      <c r="G18" s="3031">
        <f>ROUND(1-(1/(POWER(1+G24,E18))),4)</f>
        <v>0</v>
      </c>
      <c r="H18" s="3027" t="s">
        <v>3249</v>
      </c>
      <c r="I18" s="3031">
        <f>ROUND(1-(1/(POWER(1+G24,J24))),4)</f>
        <v>0.88249999999999995</v>
      </c>
      <c r="J18" s="3036"/>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9"/>
    </row>
    <row r="19" spans="1:37" s="1855" customFormat="1" ht="14.4" thickBot="1">
      <c r="A19" s="3037"/>
      <c r="B19" s="3038"/>
      <c r="C19" s="3039"/>
      <c r="D19" s="3039" t="s">
        <v>3245</v>
      </c>
      <c r="E19" s="3040"/>
      <c r="F19" s="3041" t="s">
        <v>3248</v>
      </c>
      <c r="G19" s="3040"/>
      <c r="H19" s="3039"/>
      <c r="I19" s="3039"/>
      <c r="J19" s="3042"/>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2"/>
      <c r="AH19" s="1977"/>
      <c r="AI19" s="559"/>
      <c r="AJ19" s="559"/>
      <c r="AK19" s="1896"/>
    </row>
    <row r="20" spans="1:37" s="1855" customFormat="1" ht="13.8">
      <c r="A20" s="3383" t="s">
        <v>3250</v>
      </c>
      <c r="B20" s="157" t="s">
        <v>1994</v>
      </c>
      <c r="C20" s="3028">
        <f>ROUND(IF(F21="与级别开发程度一致",0,(G21-E21)/C21),0)</f>
        <v>-17</v>
      </c>
      <c r="D20" s="3043" t="s">
        <v>1998</v>
      </c>
      <c r="E20" s="3044"/>
      <c r="F20" s="3389" t="s">
        <v>1995</v>
      </c>
      <c r="G20" s="3390"/>
      <c r="H20" s="3029" t="s">
        <v>3445</v>
      </c>
      <c r="I20" s="3029" t="s">
        <v>3446</v>
      </c>
      <c r="J20" s="3030" t="s">
        <v>3447</v>
      </c>
      <c r="K20" s="1886" t="s">
        <v>3448</v>
      </c>
      <c r="L20" s="1886" t="s">
        <v>3449</v>
      </c>
      <c r="M20" s="1886" t="s">
        <v>43</v>
      </c>
      <c r="N20" s="1886" t="s">
        <v>3450</v>
      </c>
      <c r="O20" s="1887" t="s">
        <v>3451</v>
      </c>
      <c r="P20" s="1841"/>
      <c r="Q20" s="1057"/>
      <c r="R20" s="1057"/>
      <c r="S20" s="1057"/>
      <c r="T20" s="1054"/>
      <c r="U20" s="1054"/>
      <c r="V20" s="1054"/>
      <c r="W20" s="1053"/>
      <c r="X20" s="1053"/>
      <c r="Y20" s="1053"/>
      <c r="Z20" s="1058"/>
      <c r="AA20" s="1058"/>
      <c r="AB20" s="1058"/>
      <c r="AC20" s="1058"/>
      <c r="AD20" s="1058"/>
      <c r="AE20" s="1058"/>
      <c r="AF20" s="1058"/>
      <c r="AG20" s="2549"/>
      <c r="AH20" s="2549"/>
      <c r="AI20" s="2549"/>
      <c r="AJ20" s="2549"/>
    </row>
    <row r="21" spans="1:37" s="1855" customFormat="1" ht="27" thickBot="1">
      <c r="A21" s="3384"/>
      <c r="B21" s="1999" t="s">
        <v>1997</v>
      </c>
      <c r="C21" s="2000">
        <f>IF(E3="M4科研用地",SUMPRODUCT((修正!A2:A7=E3)*(修正!B1:M1=G2)*(修正!B2:M7)),SUMPRODUCT((修正!A2:A7=E2)*(修正!B1:M1=G2)*(修正!B2:M7)))</f>
        <v>3.5</v>
      </c>
      <c r="D21" s="177" t="str">
        <f>IF(OR(G2="八级",G2="九级",G2="十级",G2="十一级",G2="十二级"),"五通一平","七通一平")</f>
        <v>七通一平</v>
      </c>
      <c r="E21" s="1990">
        <f>SUMPRODUCT((修正!B1:M1=G2)*(修正!B17:M17))</f>
        <v>375</v>
      </c>
      <c r="F21" s="1991" t="s">
        <v>3444</v>
      </c>
      <c r="G21" s="1992">
        <f>SUM(H21:O21)</f>
        <v>315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0</v>
      </c>
      <c r="N21" s="2000">
        <f>SUMPRODUCT((七通一平=N20)*(修正!B1:M1=G2)*(修正!B8:M16))</f>
        <v>50</v>
      </c>
      <c r="O21" s="2002">
        <f>SUMPRODUCT((七通一平=O20)*(修正!B1:M1=G2)*(修正!B8:M16))</f>
        <v>20</v>
      </c>
      <c r="P21" s="1841"/>
      <c r="Q21" s="2549"/>
      <c r="R21" s="1057"/>
      <c r="S21" s="1057"/>
      <c r="T21" s="1054"/>
      <c r="U21" s="1054"/>
      <c r="V21" s="1054"/>
      <c r="W21" s="1053"/>
      <c r="X21" s="1053"/>
      <c r="Y21" s="1053"/>
      <c r="Z21" s="1058"/>
      <c r="AA21" s="1058"/>
      <c r="AB21" s="1058"/>
      <c r="AC21" s="1058"/>
      <c r="AD21" s="1058"/>
      <c r="AE21" s="1058"/>
      <c r="AF21" s="1058"/>
      <c r="AG21" s="2549"/>
      <c r="AH21" s="2549"/>
      <c r="AI21" s="2549"/>
      <c r="AJ21" s="2549"/>
    </row>
    <row r="22" spans="1:37" s="1855" customFormat="1" ht="15" thickBot="1">
      <c r="A22" s="1993" t="s">
        <v>363</v>
      </c>
      <c r="B22" s="1994" t="s">
        <v>2000</v>
      </c>
      <c r="C22" s="1995">
        <f>SUMIF(修正!C20:C51,E3,修正!E20:E51)</f>
        <v>1</v>
      </c>
      <c r="D22" s="1996"/>
      <c r="E22" s="1997"/>
      <c r="F22" s="1997"/>
      <c r="G22" s="1997"/>
      <c r="H22" s="1997"/>
      <c r="I22" s="1997"/>
      <c r="J22" s="1998"/>
      <c r="K22" s="1058"/>
      <c r="L22" s="2549"/>
      <c r="M22" s="2549"/>
      <c r="N22" s="2549"/>
      <c r="O22" s="1056"/>
      <c r="P22" s="1056"/>
      <c r="Q22" s="2549"/>
      <c r="R22" s="1057"/>
      <c r="S22" s="1057"/>
      <c r="T22" s="1054"/>
      <c r="U22" s="1054"/>
      <c r="V22" s="1054"/>
      <c r="W22" s="1053"/>
      <c r="X22" s="1053"/>
      <c r="Y22" s="1053"/>
      <c r="Z22" s="1058"/>
      <c r="AA22" s="1058"/>
      <c r="AB22" s="1058"/>
      <c r="AC22" s="1058"/>
      <c r="AD22" s="1058"/>
      <c r="AE22" s="1058"/>
      <c r="AF22" s="1058"/>
      <c r="AG22" s="2549"/>
      <c r="AH22" s="2549"/>
      <c r="AI22" s="2549"/>
      <c r="AJ22" s="2549"/>
    </row>
    <row r="23" spans="1:37" ht="27" thickBot="1">
      <c r="A23" s="1889" t="s">
        <v>364</v>
      </c>
      <c r="B23" s="1890" t="s">
        <v>2001</v>
      </c>
      <c r="C23" s="713">
        <v>1.0339</v>
      </c>
      <c r="D23" s="1893" t="s">
        <v>2002</v>
      </c>
      <c r="E23" s="714">
        <v>44197</v>
      </c>
      <c r="F23" s="1893" t="s">
        <v>2003</v>
      </c>
      <c r="G23" s="715">
        <f>'数据-取费表'!B2</f>
        <v>45762</v>
      </c>
      <c r="H23" s="3045" t="s">
        <v>3252</v>
      </c>
      <c r="I23" s="3046" t="str">
        <f>IF(H23="季度增幅（自定义）",SUMIF(N25:N28,E2,O25:O28),"")</f>
        <v/>
      </c>
      <c r="J23" s="3138" t="s">
        <v>3251</v>
      </c>
      <c r="K23" s="1058"/>
      <c r="L23" s="1894" t="s">
        <v>2004</v>
      </c>
      <c r="M23" s="1238">
        <f>ROUND(SUMIF(地价!B2:G2,E2,地价!B16:G16),0)</f>
        <v>350</v>
      </c>
      <c r="N23" s="1895" t="s">
        <v>2005</v>
      </c>
      <c r="O23" s="716">
        <f>ROUNDDOWN(DATEDIF(E23,G23,"M")/3,0)</f>
        <v>17</v>
      </c>
      <c r="P23" s="1054"/>
      <c r="Q23" s="2549"/>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0.66620000000000001</v>
      </c>
      <c r="D24" s="1899" t="s">
        <v>2007</v>
      </c>
      <c r="E24" s="1245">
        <f>存贷款利率!E27/100</f>
        <v>4.3499999999999997E-2</v>
      </c>
      <c r="F24" s="1899" t="s">
        <v>1999</v>
      </c>
      <c r="G24" s="721">
        <f>SUMIF(M30:Q30,E2,M33:Q33)</f>
        <v>5.5E-2</v>
      </c>
      <c r="H24" s="1899" t="s">
        <v>2008</v>
      </c>
      <c r="I24" s="722">
        <f>SUMIF('数据-取费表'!C6:C15,E2,'数据-取费表'!F6:F15)/COUNTIF('数据-取费表'!C6:C15,E2)</f>
        <v>16.559999999999999</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9"/>
      <c r="AH24" s="2549"/>
      <c r="AI24" s="2549"/>
      <c r="AJ24" s="2549"/>
    </row>
    <row r="25" spans="1:37" ht="14.4">
      <c r="A25" s="1904" t="s">
        <v>366</v>
      </c>
      <c r="B25" s="1905" t="s">
        <v>3452</v>
      </c>
      <c r="C25" s="459">
        <f>IF(B25="容积率修正",IF(G3&lt;10,D26,J26),C27)</f>
        <v>1.5206</v>
      </c>
      <c r="D25" s="1906"/>
      <c r="E25" s="1906"/>
      <c r="F25" s="1906"/>
      <c r="G25" s="1906"/>
      <c r="H25" s="1906"/>
      <c r="I25" s="1906"/>
      <c r="J25" s="1907"/>
      <c r="K25" s="1058"/>
      <c r="L25" s="2549"/>
      <c r="M25" s="2549"/>
      <c r="N25" s="1908" t="s">
        <v>2013</v>
      </c>
      <c r="O25" s="1090"/>
      <c r="P25" s="1091">
        <f>SUMPRODUCT((地价!A3:A40=YEAR(G23)&amp;"-"&amp;ROUNDUP(MONTH(G23)/3,0))*(地价!AD2:AH2=N25)*(地价!AD3:AH40))</f>
        <v>0</v>
      </c>
      <c r="Q25" s="2549"/>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v>
      </c>
      <c r="E26" s="705">
        <f>ROUNDDOWN(G3,1)</f>
        <v>3.5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3254</v>
      </c>
      <c r="J26" s="372" t="str">
        <f>IF(G3&gt;=10,D115,"——")</f>
        <v>——</v>
      </c>
      <c r="K26" s="1058"/>
      <c r="L26" s="2549"/>
      <c r="M26" s="2549"/>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1.0434000000000001</v>
      </c>
      <c r="D28" s="1891"/>
      <c r="E28" s="1916"/>
      <c r="F28" s="1916"/>
      <c r="G28" s="1916"/>
      <c r="H28" s="1916"/>
      <c r="I28" s="1916"/>
      <c r="J28" s="1917"/>
      <c r="K28" s="1058"/>
      <c r="L28" s="2549"/>
      <c r="M28" s="2549"/>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6" t="s">
        <v>2023</v>
      </c>
      <c r="O29" s="2547"/>
      <c r="P29" s="2548">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18959</v>
      </c>
      <c r="D30" s="1922"/>
      <c r="E30" s="1839"/>
      <c r="F30" s="1923"/>
      <c r="G30" s="1839"/>
      <c r="H30" s="1839"/>
      <c r="I30" s="1839"/>
      <c r="J30" s="1924"/>
      <c r="K30" s="1053"/>
      <c r="L30" s="3052" t="s">
        <v>1936</v>
      </c>
      <c r="M30" s="3053" t="s">
        <v>1990</v>
      </c>
      <c r="N30" s="3053" t="s">
        <v>1991</v>
      </c>
      <c r="O30" s="3053" t="s">
        <v>1992</v>
      </c>
      <c r="P30" s="3053" t="s">
        <v>1993</v>
      </c>
      <c r="Q30" s="3056"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4061</v>
      </c>
      <c r="D31" s="1926"/>
      <c r="E31" s="1927"/>
      <c r="F31" s="1928"/>
      <c r="G31" s="1927"/>
      <c r="H31" s="1927"/>
      <c r="I31" s="1927"/>
      <c r="J31" s="1929"/>
      <c r="K31" s="1053"/>
      <c r="L31" s="3054" t="s">
        <v>1996</v>
      </c>
      <c r="M31" s="160">
        <v>0.25</v>
      </c>
      <c r="N31" s="160">
        <v>0.2</v>
      </c>
      <c r="O31" s="160">
        <v>0.15</v>
      </c>
      <c r="P31" s="160">
        <v>0.1</v>
      </c>
      <c r="Q31" s="3049">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5" t="s">
        <v>1999</v>
      </c>
      <c r="M32" s="2353">
        <f>ROUND($E$24*(1+M31),3)</f>
        <v>5.3999999999999999E-2</v>
      </c>
      <c r="N32" s="2353">
        <f>ROUND($E$24*(1+N31),3)</f>
        <v>5.1999999999999998E-2</v>
      </c>
      <c r="O32" s="2353">
        <f>ROUND($E$24*(1+O31),3)</f>
        <v>0.05</v>
      </c>
      <c r="P32" s="2353">
        <f>ROUND($E$24*(1+P31),3)</f>
        <v>4.8000000000000001E-2</v>
      </c>
      <c r="Q32" s="3057">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5">
        <f>ROUND(C5*C22*C23*C24*C25*C28,0)</f>
        <v>35640</v>
      </c>
      <c r="D33" s="1937"/>
      <c r="E33" s="724">
        <f>ROUND(C33*D33/10000,0)</f>
        <v>0</v>
      </c>
      <c r="F33" s="3047" t="s">
        <v>3256</v>
      </c>
      <c r="G33" s="1938"/>
      <c r="H33" s="1938"/>
      <c r="I33" s="1938"/>
      <c r="J33" s="1939"/>
      <c r="K33" s="1053"/>
      <c r="L33" s="3050" t="s">
        <v>3259</v>
      </c>
      <c r="M33" s="3051">
        <v>5.5E-2</v>
      </c>
      <c r="N33" s="3051">
        <v>5.5E-2</v>
      </c>
      <c r="O33" s="3051">
        <v>0.05</v>
      </c>
      <c r="P33" s="3051">
        <v>0.05</v>
      </c>
      <c r="Q33" s="3051">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7" t="e">
        <f>ROUND(IF(E2="工业",C33*M42,IF(B25="楼层修正",SUM(V2:V16)*M41*10000/D34,C33*M41)),0)</f>
        <v>#DIV/0!</v>
      </c>
      <c r="D34" s="1942"/>
      <c r="E34" s="724">
        <f>ROUND(IF(B25="楼层修正",SUM(V2:V16)*M40,C34*D34/10000),0)</f>
        <v>0</v>
      </c>
      <c r="F34" s="1943" t="s">
        <v>2032</v>
      </c>
      <c r="G34" s="1944"/>
      <c r="H34" s="1944"/>
      <c r="I34" s="1944"/>
      <c r="J34" s="1945"/>
      <c r="K34" s="1053"/>
      <c r="L34" s="3050" t="s">
        <v>3260</v>
      </c>
      <c r="M34" s="3051">
        <v>6.5000000000000002E-2</v>
      </c>
      <c r="N34" s="3051">
        <v>6.5000000000000002E-2</v>
      </c>
      <c r="O34" s="3051">
        <v>0.06</v>
      </c>
      <c r="P34" s="3051">
        <v>0.06</v>
      </c>
      <c r="Q34" s="3051">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8"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4" t="s">
        <v>2027</v>
      </c>
      <c r="D36" s="431" t="s">
        <v>2028</v>
      </c>
      <c r="E36" s="431" t="s">
        <v>2029</v>
      </c>
      <c r="F36" s="331" t="s">
        <v>2035</v>
      </c>
      <c r="G36" s="1951" t="s">
        <v>2027</v>
      </c>
      <c r="H36" s="1951" t="s">
        <v>2028</v>
      </c>
      <c r="I36" s="1951" t="s">
        <v>2029</v>
      </c>
      <c r="J36" s="233"/>
      <c r="K36" s="1961"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7"/>
      <c r="B37" s="1952" t="s">
        <v>2036</v>
      </c>
      <c r="C37" s="165">
        <f>ROUND(D5*C22*C23*C24*C28*F37,0)</f>
        <v>16407</v>
      </c>
      <c r="D37" s="1937">
        <f>'数据-基础表'!K13</f>
        <v>4129.8999999999996</v>
      </c>
      <c r="E37" s="161">
        <f t="shared" ref="E37:E42" si="3">ROUND(C37*D37/10000,0)</f>
        <v>6776</v>
      </c>
      <c r="F37" s="161">
        <f>SUMIF(修正!A57:A68,G2,修正!B57:B68)</f>
        <v>0.7</v>
      </c>
      <c r="G37" s="161">
        <f>ROUND(IF(E2="工业",C37*$M$42,C37*$M$41),0)</f>
        <v>4102</v>
      </c>
      <c r="H37" s="161">
        <f t="shared" ref="H37:H42" si="4">D37</f>
        <v>4129.8999999999996</v>
      </c>
      <c r="I37" s="161">
        <f t="shared" ref="I37:I42" si="5">ROUND(G37*H37/10000,0)</f>
        <v>1694</v>
      </c>
      <c r="J37" s="2751"/>
      <c r="K37" s="3058" t="s">
        <v>3262</v>
      </c>
      <c r="L37" s="1961">
        <f ca="1">L36+K38</f>
        <v>3.5999999999999997E-2</v>
      </c>
      <c r="M37" s="2363">
        <f ca="1">ROUND($L$37*(1+M31),3)</f>
        <v>4.4999999999999998E-2</v>
      </c>
      <c r="N37" s="2363">
        <f ca="1">ROUND($L$37*(1+N31),3)</f>
        <v>4.2999999999999997E-2</v>
      </c>
      <c r="O37" s="2363">
        <f ca="1">ROUND($L$37*(1+O31),3)</f>
        <v>4.1000000000000002E-2</v>
      </c>
      <c r="P37" s="2363">
        <f ca="1">ROUND($L$37*(1+P31),3)</f>
        <v>0.04</v>
      </c>
      <c r="Q37" s="2363">
        <f ca="1">ROUND($L$37*(1+Q31),3)</f>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8"/>
      <c r="B38" s="1881" t="s">
        <v>2037</v>
      </c>
      <c r="C38" s="165">
        <f>ROUND(D5*C22*C23*C24*C28*F38,0)</f>
        <v>9375</v>
      </c>
      <c r="D38" s="1937"/>
      <c r="E38" s="161">
        <f t="shared" si="3"/>
        <v>0</v>
      </c>
      <c r="F38" s="161">
        <f>SUMIF(修正!A57:A68,G2,修正!C57:C68)</f>
        <v>0.4</v>
      </c>
      <c r="G38" s="161">
        <f>ROUND(IF(E2="工业",C38*$M$42,C38*$M$41),0)</f>
        <v>2344</v>
      </c>
      <c r="H38" s="161">
        <f t="shared" si="4"/>
        <v>0</v>
      </c>
      <c r="I38" s="161">
        <f t="shared" si="5"/>
        <v>0</v>
      </c>
      <c r="J38" s="2750"/>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8"/>
      <c r="B39" s="1881" t="s">
        <v>3255</v>
      </c>
      <c r="C39" s="165">
        <f>ROUND(D5*C22*C23*C24*C28*F39,0)</f>
        <v>7031</v>
      </c>
      <c r="D39" s="1937"/>
      <c r="E39" s="161">
        <f t="shared" si="3"/>
        <v>0</v>
      </c>
      <c r="F39" s="161">
        <f>SUMIF(修正!A57:A68,G2,修正!D57:D68)</f>
        <v>0.3</v>
      </c>
      <c r="G39" s="161">
        <f>ROUND(IF(E2="工业",C39*$M$42,C39*$M$41),0)</f>
        <v>1758</v>
      </c>
      <c r="H39" s="161">
        <f t="shared" si="4"/>
        <v>0</v>
      </c>
      <c r="I39" s="161">
        <f t="shared" si="5"/>
        <v>0</v>
      </c>
      <c r="J39" s="2750"/>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7031</v>
      </c>
      <c r="D40" s="1937"/>
      <c r="E40" s="161">
        <f t="shared" si="3"/>
        <v>0</v>
      </c>
      <c r="F40" s="165">
        <f>SUMIF(修正!A57:A68,G2,修正!E57:E68)</f>
        <v>0.3</v>
      </c>
      <c r="G40" s="161">
        <f>ROUND(IF(E2="工业",C40*$M$42,C40*$M$41),0)</f>
        <v>1758</v>
      </c>
      <c r="H40" s="161">
        <f t="shared" si="4"/>
        <v>0</v>
      </c>
      <c r="I40" s="161">
        <f t="shared" si="5"/>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8601</v>
      </c>
      <c r="D41" s="1937"/>
      <c r="E41" s="161">
        <f t="shared" si="3"/>
        <v>0</v>
      </c>
      <c r="F41" s="165">
        <f>SUMIF(修正!A57:A68,G2,修正!F57:F68)</f>
        <v>0.3</v>
      </c>
      <c r="G41" s="161">
        <f>ROUND(IF(E2="工业",C41*$M$42,C41*$M$41),0)</f>
        <v>2150</v>
      </c>
      <c r="H41" s="161">
        <f t="shared" si="4"/>
        <v>0</v>
      </c>
      <c r="I41" s="161">
        <f t="shared" si="5"/>
        <v>0</v>
      </c>
      <c r="J41" s="936"/>
      <c r="L41" s="3059"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7">
        <f>ROUND(D5*C22*C23*C44*C28*F42,0)</f>
        <v>5734</v>
      </c>
      <c r="D42" s="1942">
        <f>'数据-基础表'!M13</f>
        <v>16503.550000000097</v>
      </c>
      <c r="E42" s="177">
        <f t="shared" si="3"/>
        <v>9463</v>
      </c>
      <c r="F42" s="720">
        <f>SUMIF(修正!A57:A68,G2,修正!G57:G68)</f>
        <v>0.2</v>
      </c>
      <c r="G42" s="177">
        <f>ROUND(IF(E2="工业",C42*$M$42,C42*$M$41),0)</f>
        <v>1434</v>
      </c>
      <c r="H42" s="177">
        <f t="shared" si="4"/>
        <v>16503.550000000097</v>
      </c>
      <c r="I42" s="177">
        <f t="shared" si="5"/>
        <v>2367</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1">
        <f>ROUND(POWER(1+E44,H44-G44)*(POWER(1+E44,G44)-1)/(POWER(1+E44,H44)-1),4)</f>
        <v>0.81489999999999996</v>
      </c>
      <c r="D44" s="161" t="s">
        <v>1999</v>
      </c>
      <c r="E44" s="1988">
        <f>G24</f>
        <v>5.5E-2</v>
      </c>
      <c r="F44" s="161" t="s">
        <v>2008</v>
      </c>
      <c r="G44" s="173">
        <f>项目基本情况!E15</f>
        <v>26.57</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估价对象位于朝阳门商圈，周边商业氛围成熟，人流量大，商业繁华度较好</v>
      </c>
      <c r="C50" s="1884" t="s">
        <v>3471</v>
      </c>
      <c r="D50" s="999">
        <f t="shared" ref="D50:D58" si="6">SUMIF($J$49:$N$49,C50,J50:N50)</f>
        <v>1.21E-2</v>
      </c>
      <c r="E50" s="699">
        <f>ROUND(SUM(D50:D58),4)</f>
        <v>4.3400000000000001E-2</v>
      </c>
      <c r="F50" s="1672">
        <f>IF(E2="商业",SUMIF(L1:L12,G2,N1:N12),"——")</f>
        <v>8.1000000000000003E-2</v>
      </c>
      <c r="G50" s="997">
        <v>1.21E-2</v>
      </c>
      <c r="H50" s="1000">
        <f t="shared" ref="H50:H58" si="7">IFERROR(ROUNDDOWN($F$50*I50/2,4),"——")</f>
        <v>1.21E-2</v>
      </c>
      <c r="I50" s="3065">
        <v>0.3</v>
      </c>
      <c r="J50" s="998">
        <f t="shared" ref="J50:J58" si="8">K50+$G50</f>
        <v>2.4199999999999999E-2</v>
      </c>
      <c r="K50" s="998">
        <f t="shared" ref="K50:K58" si="9">$L50+$G50</f>
        <v>1.21E-2</v>
      </c>
      <c r="L50" s="998">
        <v>0</v>
      </c>
      <c r="M50" s="998">
        <f t="shared" ref="M50:N58" si="10">L50-$G50</f>
        <v>-1.21E-2</v>
      </c>
      <c r="N50" s="998">
        <f t="shared" si="10"/>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估价对象周边道路状况、公共交通通达情况、停车便捷程度，综合评价交通便捷度较好</v>
      </c>
      <c r="C51" s="1884" t="s">
        <v>3471</v>
      </c>
      <c r="D51" s="999">
        <f t="shared" si="6"/>
        <v>8.8999999999999999E-3</v>
      </c>
      <c r="E51" s="700"/>
      <c r="F51" s="1672"/>
      <c r="G51" s="997">
        <v>8.8999999999999999E-3</v>
      </c>
      <c r="H51" s="1000">
        <f t="shared" si="7"/>
        <v>8.8999999999999999E-3</v>
      </c>
      <c r="I51" s="3065">
        <v>0.22</v>
      </c>
      <c r="J51" s="998">
        <f t="shared" si="8"/>
        <v>1.78E-2</v>
      </c>
      <c r="K51" s="998">
        <f t="shared" si="9"/>
        <v>8.8999999999999999E-3</v>
      </c>
      <c r="L51" s="998">
        <v>0</v>
      </c>
      <c r="M51" s="998">
        <f t="shared" si="10"/>
        <v>-8.8999999999999999E-3</v>
      </c>
      <c r="N51" s="998">
        <f t="shared" si="10"/>
        <v>-1.78E-2</v>
      </c>
      <c r="AA51" s="1054"/>
      <c r="AB51" s="1054"/>
      <c r="AC51" s="1054"/>
      <c r="AD51" s="1054"/>
      <c r="AE51" s="1054"/>
      <c r="AF51" s="1054"/>
      <c r="AG51" s="1054"/>
      <c r="AH51" s="1054"/>
      <c r="AI51" s="1054"/>
      <c r="AJ51" s="1054"/>
      <c r="AK51" s="1054"/>
    </row>
    <row r="52" spans="1:37" s="1053" customFormat="1" ht="48">
      <c r="A52" s="3067" t="s">
        <v>3265</v>
      </c>
      <c r="B52" s="1259">
        <f>估价对象房地状况!C19</f>
        <v>0</v>
      </c>
      <c r="C52" s="1884" t="s">
        <v>3471</v>
      </c>
      <c r="D52" s="999">
        <f t="shared" si="6"/>
        <v>4.7999999999999996E-3</v>
      </c>
      <c r="E52" s="700"/>
      <c r="F52" s="1672"/>
      <c r="G52" s="997">
        <v>4.7999999999999996E-3</v>
      </c>
      <c r="H52" s="1000">
        <f t="shared" si="7"/>
        <v>4.7999999999999996E-3</v>
      </c>
      <c r="I52" s="3065">
        <v>0.12</v>
      </c>
      <c r="J52" s="998">
        <f t="shared" si="8"/>
        <v>9.5999999999999992E-3</v>
      </c>
      <c r="K52" s="998">
        <f t="shared" si="9"/>
        <v>4.7999999999999996E-3</v>
      </c>
      <c r="L52" s="998">
        <v>0</v>
      </c>
      <c r="M52" s="998">
        <f t="shared" si="10"/>
        <v>-4.7999999999999996E-3</v>
      </c>
      <c r="N52" s="998">
        <f t="shared" si="10"/>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3471</v>
      </c>
      <c r="D53" s="999">
        <f t="shared" si="6"/>
        <v>2E-3</v>
      </c>
      <c r="E53" s="700"/>
      <c r="F53" s="1672"/>
      <c r="G53" s="997">
        <v>2E-3</v>
      </c>
      <c r="H53" s="1000">
        <f t="shared" si="7"/>
        <v>2E-3</v>
      </c>
      <c r="I53" s="3065">
        <v>0.05</v>
      </c>
      <c r="J53" s="998">
        <f t="shared" si="8"/>
        <v>4.0000000000000001E-3</v>
      </c>
      <c r="K53" s="998">
        <f t="shared" si="9"/>
        <v>2E-3</v>
      </c>
      <c r="L53" s="998">
        <v>0</v>
      </c>
      <c r="M53" s="998">
        <f t="shared" si="10"/>
        <v>-2E-3</v>
      </c>
      <c r="N53" s="998">
        <f t="shared" si="10"/>
        <v>-4.0000000000000001E-3</v>
      </c>
      <c r="AA53" s="1054"/>
      <c r="AB53" s="1054"/>
      <c r="AC53" s="1054"/>
      <c r="AD53" s="1054"/>
      <c r="AE53" s="1054"/>
      <c r="AF53" s="1054"/>
      <c r="AG53" s="1054"/>
      <c r="AH53" s="1054"/>
      <c r="AI53" s="1054"/>
      <c r="AJ53" s="1054"/>
      <c r="AK53" s="1054"/>
    </row>
    <row r="54" spans="1:37" s="1053" customFormat="1" ht="24">
      <c r="A54" s="1967" t="s">
        <v>2056</v>
      </c>
      <c r="B54" s="1259" t="str">
        <f>估价对象房地状况!C24</f>
        <v>主干道-工人体育场路</v>
      </c>
      <c r="C54" s="1884" t="s">
        <v>3471</v>
      </c>
      <c r="D54" s="999">
        <f t="shared" si="6"/>
        <v>3.2000000000000002E-3</v>
      </c>
      <c r="E54" s="700"/>
      <c r="F54" s="1672"/>
      <c r="G54" s="997">
        <v>3.2000000000000002E-3</v>
      </c>
      <c r="H54" s="1000">
        <f t="shared" si="7"/>
        <v>3.2000000000000002E-3</v>
      </c>
      <c r="I54" s="3065">
        <v>0.08</v>
      </c>
      <c r="J54" s="998">
        <f t="shared" si="8"/>
        <v>6.4000000000000003E-3</v>
      </c>
      <c r="K54" s="998">
        <f t="shared" si="9"/>
        <v>3.2000000000000002E-3</v>
      </c>
      <c r="L54" s="998">
        <v>0</v>
      </c>
      <c r="M54" s="998">
        <f t="shared" si="10"/>
        <v>-3.2000000000000002E-3</v>
      </c>
      <c r="N54" s="998">
        <f t="shared" si="10"/>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3471</v>
      </c>
      <c r="D55" s="999">
        <f t="shared" si="6"/>
        <v>2E-3</v>
      </c>
      <c r="E55" s="700"/>
      <c r="F55" s="1672"/>
      <c r="G55" s="997">
        <v>2E-3</v>
      </c>
      <c r="H55" s="1000">
        <f t="shared" si="7"/>
        <v>2E-3</v>
      </c>
      <c r="I55" s="3065">
        <v>0.05</v>
      </c>
      <c r="J55" s="998">
        <f t="shared" si="8"/>
        <v>4.0000000000000001E-3</v>
      </c>
      <c r="K55" s="998">
        <f t="shared" si="9"/>
        <v>2E-3</v>
      </c>
      <c r="L55" s="998">
        <v>0</v>
      </c>
      <c r="M55" s="998">
        <f t="shared" si="10"/>
        <v>-2E-3</v>
      </c>
      <c r="N55" s="998">
        <f t="shared" si="10"/>
        <v>-4.0000000000000001E-3</v>
      </c>
      <c r="AA55" s="1054"/>
      <c r="AB55" s="1054"/>
      <c r="AC55" s="1054"/>
      <c r="AD55" s="1054"/>
      <c r="AE55" s="1054"/>
      <c r="AF55" s="1054"/>
      <c r="AG55" s="1054"/>
      <c r="AH55" s="1054"/>
      <c r="AI55" s="1054"/>
      <c r="AJ55" s="1054"/>
      <c r="AK55" s="1054"/>
    </row>
    <row r="56" spans="1:37" s="1053" customFormat="1" ht="26.4">
      <c r="A56" s="1973" t="s">
        <v>2059</v>
      </c>
      <c r="B56" s="1237" t="str">
        <f>估价对象房地状况!C21</f>
        <v>估价对象所在区域公共配套设施齐备情况较好</v>
      </c>
      <c r="C56" s="1884" t="s">
        <v>3471</v>
      </c>
      <c r="D56" s="999">
        <f t="shared" si="6"/>
        <v>2E-3</v>
      </c>
      <c r="E56" s="700"/>
      <c r="F56" s="1672"/>
      <c r="G56" s="997">
        <v>2E-3</v>
      </c>
      <c r="H56" s="1000">
        <f t="shared" si="7"/>
        <v>2E-3</v>
      </c>
      <c r="I56" s="3065">
        <v>0.05</v>
      </c>
      <c r="J56" s="998">
        <f t="shared" si="8"/>
        <v>4.0000000000000001E-3</v>
      </c>
      <c r="K56" s="998">
        <f t="shared" si="9"/>
        <v>2E-3</v>
      </c>
      <c r="L56" s="998">
        <v>0</v>
      </c>
      <c r="M56" s="998">
        <f t="shared" si="10"/>
        <v>-2E-3</v>
      </c>
      <c r="N56" s="998">
        <f t="shared" si="10"/>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v>
      </c>
      <c r="C57" s="1884" t="s">
        <v>3472</v>
      </c>
      <c r="D57" s="999">
        <f t="shared" si="6"/>
        <v>6.4000000000000003E-3</v>
      </c>
      <c r="E57" s="700"/>
      <c r="F57" s="1672"/>
      <c r="G57" s="997">
        <v>3.2000000000000002E-3</v>
      </c>
      <c r="H57" s="1000">
        <f t="shared" si="7"/>
        <v>3.2000000000000002E-3</v>
      </c>
      <c r="I57" s="3065">
        <v>0.08</v>
      </c>
      <c r="J57" s="998">
        <f t="shared" si="8"/>
        <v>6.4000000000000003E-3</v>
      </c>
      <c r="K57" s="998">
        <f t="shared" si="9"/>
        <v>3.2000000000000002E-3</v>
      </c>
      <c r="L57" s="998">
        <v>0</v>
      </c>
      <c r="M57" s="998">
        <f t="shared" si="10"/>
        <v>-3.2000000000000002E-3</v>
      </c>
      <c r="N57" s="998">
        <f t="shared" si="10"/>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区域自然环境：；人文环境；综合评价环境状况较好</v>
      </c>
      <c r="C58" s="1884" t="s">
        <v>3471</v>
      </c>
      <c r="D58" s="999">
        <f t="shared" si="6"/>
        <v>2E-3</v>
      </c>
      <c r="E58" s="701"/>
      <c r="F58" s="1672"/>
      <c r="G58" s="997">
        <v>2E-3</v>
      </c>
      <c r="H58" s="1000">
        <f t="shared" si="7"/>
        <v>2E-3</v>
      </c>
      <c r="I58" s="3066">
        <v>0.05</v>
      </c>
      <c r="J58" s="998">
        <f t="shared" si="8"/>
        <v>4.0000000000000001E-3</v>
      </c>
      <c r="K58" s="998">
        <f t="shared" si="9"/>
        <v>2E-3</v>
      </c>
      <c r="L58" s="998">
        <v>0</v>
      </c>
      <c r="M58" s="998">
        <f t="shared" si="10"/>
        <v>-2E-3</v>
      </c>
      <c r="N58" s="998">
        <f t="shared" si="10"/>
        <v>-4.0000000000000001E-3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1">SUMIF($J$60:$N$60,C61,J61:N61)</f>
        <v>0</v>
      </c>
      <c r="E61" s="699">
        <f>ROUND(SUM(D61:D69),4)</f>
        <v>0</v>
      </c>
      <c r="F61" s="1672" t="str">
        <f>IF(E2="办公",SUMIF(L1:L12,G2,N1:N12),"——")</f>
        <v>——</v>
      </c>
      <c r="G61" s="997"/>
      <c r="H61" s="1000" t="str">
        <f t="shared" ref="H61:H69" si="12">IFERROR(ROUNDDOWN($F$61*I61/2,4),"——")</f>
        <v>——</v>
      </c>
      <c r="I61" s="3065">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52.8">
      <c r="A62" s="1967" t="s">
        <v>2053</v>
      </c>
      <c r="B62" s="1259" t="str">
        <f>估价对象房地状况!C18</f>
        <v>估价对象周边道路状况、公共交通通达情况、停车便捷程度，综合评价交通便捷度较好</v>
      </c>
      <c r="C62" s="1884"/>
      <c r="D62" s="999">
        <f t="shared" si="11"/>
        <v>0</v>
      </c>
      <c r="E62" s="700"/>
      <c r="F62" s="1672"/>
      <c r="G62" s="997"/>
      <c r="H62" s="1000" t="str">
        <f t="shared" si="12"/>
        <v>——</v>
      </c>
      <c r="I62" s="3065">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48">
      <c r="A63" s="3067" t="s">
        <v>3265</v>
      </c>
      <c r="B63" s="1259">
        <f>估价对象房地状况!C19</f>
        <v>0</v>
      </c>
      <c r="C63" s="1884"/>
      <c r="D63" s="999">
        <f t="shared" si="11"/>
        <v>0</v>
      </c>
      <c r="E63" s="700"/>
      <c r="F63" s="1672"/>
      <c r="G63" s="997"/>
      <c r="H63" s="1000" t="str">
        <f t="shared" si="12"/>
        <v>——</v>
      </c>
      <c r="I63" s="3065">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1"/>
        <v>0</v>
      </c>
      <c r="E64" s="700"/>
      <c r="F64" s="1672"/>
      <c r="G64" s="997"/>
      <c r="H64" s="1000" t="str">
        <f t="shared" si="12"/>
        <v>——</v>
      </c>
      <c r="I64" s="3065">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7" t="s">
        <v>2056</v>
      </c>
      <c r="B65" s="1259" t="str">
        <f>估价对象房地状况!C24</f>
        <v>主干道-工人体育场路</v>
      </c>
      <c r="C65" s="1884"/>
      <c r="D65" s="999">
        <f t="shared" si="11"/>
        <v>0</v>
      </c>
      <c r="E65" s="700"/>
      <c r="F65" s="1672"/>
      <c r="G65" s="997"/>
      <c r="H65" s="1000" t="str">
        <f t="shared" si="12"/>
        <v>——</v>
      </c>
      <c r="I65" s="3065">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1"/>
        <v>0</v>
      </c>
      <c r="E66" s="700"/>
      <c r="F66" s="1672"/>
      <c r="G66" s="997"/>
      <c r="H66" s="1000" t="str">
        <f t="shared" si="12"/>
        <v>——</v>
      </c>
      <c r="I66" s="3065">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26.4">
      <c r="A67" s="1967" t="s">
        <v>2059</v>
      </c>
      <c r="B67" s="1237" t="str">
        <f>估价对象房地状况!C21</f>
        <v>估价对象所在区域公共配套设施齐备情况较好</v>
      </c>
      <c r="C67" s="1884"/>
      <c r="D67" s="999">
        <f t="shared" si="11"/>
        <v>0</v>
      </c>
      <c r="E67" s="700"/>
      <c r="F67" s="1672"/>
      <c r="G67" s="997"/>
      <c r="H67" s="1000" t="str">
        <f t="shared" si="12"/>
        <v>——</v>
      </c>
      <c r="I67" s="3065">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v>
      </c>
      <c r="C68" s="1884"/>
      <c r="D68" s="999">
        <f t="shared" si="11"/>
        <v>0</v>
      </c>
      <c r="E68" s="700"/>
      <c r="F68" s="1672"/>
      <c r="G68" s="997"/>
      <c r="H68" s="1000" t="str">
        <f t="shared" si="12"/>
        <v>——</v>
      </c>
      <c r="I68" s="3065">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区域自然环境：；人文环境；综合评价环境状况较好</v>
      </c>
      <c r="C69" s="1884"/>
      <c r="D69" s="999">
        <f t="shared" si="11"/>
        <v>0</v>
      </c>
      <c r="E69" s="701"/>
      <c r="F69" s="1672"/>
      <c r="G69" s="997"/>
      <c r="H69" s="1000" t="str">
        <f t="shared" si="12"/>
        <v>——</v>
      </c>
      <c r="I69" s="3066">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6">SUMIF($J$71:$N$71,C72,J72:N72)</f>
        <v>0</v>
      </c>
      <c r="E72" s="699">
        <f>ROUND(SUM(D72:D80),4)</f>
        <v>0</v>
      </c>
      <c r="F72" s="1672" t="str">
        <f>IF(E2="住宅",SUMIF(L1:L12,G2,N1:N12),"——")</f>
        <v>——</v>
      </c>
      <c r="G72" s="997"/>
      <c r="H72" s="1000" t="str">
        <f t="shared" ref="H72:H80" si="17">IFERROR(ROUNDDOWN($F$72*I72/2,4),"——")</f>
        <v>——</v>
      </c>
      <c r="I72" s="3065">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估价对象周边道路状况、公共交通通达情况、停车便捷程度，综合评价交通便捷度较好</v>
      </c>
      <c r="C73" s="1884"/>
      <c r="D73" s="999">
        <f t="shared" si="16"/>
        <v>0</v>
      </c>
      <c r="E73" s="702"/>
      <c r="F73" s="1672"/>
      <c r="G73" s="997"/>
      <c r="H73" s="1000" t="str">
        <f t="shared" si="17"/>
        <v>——</v>
      </c>
      <c r="I73" s="3065">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1" customFormat="1" ht="48">
      <c r="A74" s="3067" t="s">
        <v>3265</v>
      </c>
      <c r="B74" s="1259">
        <f>估价对象房地状况!C19</f>
        <v>0</v>
      </c>
      <c r="C74" s="1884"/>
      <c r="D74" s="999">
        <f t="shared" si="16"/>
        <v>0</v>
      </c>
      <c r="E74" s="702"/>
      <c r="F74" s="1672"/>
      <c r="G74" s="997"/>
      <c r="H74" s="1000" t="str">
        <f t="shared" si="17"/>
        <v>——</v>
      </c>
      <c r="I74" s="3065">
        <v>0.1</v>
      </c>
      <c r="J74" s="998">
        <f t="shared" si="18"/>
        <v>0</v>
      </c>
      <c r="K74" s="998">
        <f t="shared" si="19"/>
        <v>0</v>
      </c>
      <c r="L74" s="998">
        <v>0</v>
      </c>
      <c r="M74" s="998">
        <f t="shared" si="20"/>
        <v>0</v>
      </c>
      <c r="N74" s="998">
        <f t="shared" si="20"/>
        <v>0</v>
      </c>
      <c r="O74" s="1053"/>
      <c r="P74" s="1053"/>
      <c r="Q74" s="1053"/>
      <c r="AA74" s="1977"/>
      <c r="AB74" s="1054"/>
      <c r="AC74" s="1054"/>
      <c r="AD74" s="1054"/>
      <c r="AE74" s="1054"/>
      <c r="AF74" s="1054"/>
      <c r="AG74" s="1054"/>
      <c r="AH74" s="1977"/>
      <c r="AI74" s="1977"/>
      <c r="AJ74" s="1977"/>
      <c r="AK74" s="1977"/>
    </row>
    <row r="75" spans="1:37" ht="13.8">
      <c r="A75" s="1967" t="s">
        <v>2067</v>
      </c>
      <c r="B75" s="1259" t="str">
        <f>估价对象房地状况!C24</f>
        <v>主干道-工人体育场路</v>
      </c>
      <c r="C75" s="1884"/>
      <c r="D75" s="999">
        <f t="shared" si="16"/>
        <v>0</v>
      </c>
      <c r="E75" s="702"/>
      <c r="F75" s="1672"/>
      <c r="G75" s="997"/>
      <c r="H75" s="1000" t="str">
        <f t="shared" si="17"/>
        <v>——</v>
      </c>
      <c r="I75" s="3065">
        <v>0.05</v>
      </c>
      <c r="J75" s="998">
        <f t="shared" si="18"/>
        <v>0</v>
      </c>
      <c r="K75" s="998">
        <f t="shared" si="19"/>
        <v>0</v>
      </c>
      <c r="L75" s="998">
        <v>0</v>
      </c>
      <c r="M75" s="998">
        <f t="shared" si="20"/>
        <v>0</v>
      </c>
      <c r="N75" s="998">
        <f t="shared" si="20"/>
        <v>0</v>
      </c>
      <c r="O75" s="1053"/>
      <c r="P75" s="1053"/>
      <c r="Q75" s="1841"/>
      <c r="Z75" s="1842"/>
      <c r="AA75" s="1892"/>
      <c r="AG75" s="1055"/>
      <c r="AK75" s="1892"/>
    </row>
    <row r="76" spans="1:37" ht="26.4">
      <c r="A76" s="1967" t="s">
        <v>2059</v>
      </c>
      <c r="B76" s="1237" t="str">
        <f>估价对象房地状况!C21</f>
        <v>估价对象所在区域公共配套设施齐备情况较好</v>
      </c>
      <c r="C76" s="1884"/>
      <c r="D76" s="999">
        <f t="shared" si="16"/>
        <v>0</v>
      </c>
      <c r="E76" s="702"/>
      <c r="F76" s="1672"/>
      <c r="G76" s="997"/>
      <c r="H76" s="1000" t="str">
        <f t="shared" si="17"/>
        <v>——</v>
      </c>
      <c r="I76" s="3065">
        <v>0.08</v>
      </c>
      <c r="J76" s="998">
        <f t="shared" si="18"/>
        <v>0</v>
      </c>
      <c r="K76" s="998">
        <f t="shared" si="19"/>
        <v>0</v>
      </c>
      <c r="L76" s="998">
        <v>0</v>
      </c>
      <c r="M76" s="998">
        <f t="shared" si="20"/>
        <v>0</v>
      </c>
      <c r="N76" s="998">
        <f t="shared" si="20"/>
        <v>0</v>
      </c>
      <c r="O76" s="1053"/>
      <c r="P76" s="1053"/>
      <c r="Z76" s="1842"/>
      <c r="AA76" s="1892"/>
      <c r="AG76" s="1055"/>
      <c r="AK76" s="1892"/>
    </row>
    <row r="77" spans="1:37" ht="26.4">
      <c r="A77" s="1967" t="s">
        <v>2060</v>
      </c>
      <c r="B77" s="1237" t="str">
        <f>估价对象房地状况!C22</f>
        <v>估价对象所在区域基础设施水平</v>
      </c>
      <c r="C77" s="1884"/>
      <c r="D77" s="999">
        <f t="shared" si="16"/>
        <v>0</v>
      </c>
      <c r="E77" s="702"/>
      <c r="F77" s="1672"/>
      <c r="G77" s="997"/>
      <c r="H77" s="1000" t="str">
        <f t="shared" si="17"/>
        <v>——</v>
      </c>
      <c r="I77" s="3065">
        <v>0.09</v>
      </c>
      <c r="J77" s="998">
        <f t="shared" si="18"/>
        <v>0</v>
      </c>
      <c r="K77" s="998">
        <f t="shared" si="19"/>
        <v>0</v>
      </c>
      <c r="L77" s="998">
        <v>0</v>
      </c>
      <c r="M77" s="998">
        <f t="shared" si="20"/>
        <v>0</v>
      </c>
      <c r="N77" s="998">
        <f t="shared" si="20"/>
        <v>0</v>
      </c>
      <c r="O77" s="1053"/>
      <c r="P77" s="1053"/>
      <c r="Z77" s="1842"/>
      <c r="AA77" s="1892"/>
      <c r="AG77" s="1055"/>
      <c r="AK77" s="1892"/>
    </row>
    <row r="78" spans="1:37" ht="36">
      <c r="A78" s="1967" t="s">
        <v>2057</v>
      </c>
      <c r="B78" s="1972" t="s">
        <v>2058</v>
      </c>
      <c r="C78" s="1884"/>
      <c r="D78" s="999">
        <f t="shared" si="16"/>
        <v>0</v>
      </c>
      <c r="E78" s="702"/>
      <c r="F78" s="1672"/>
      <c r="G78" s="997"/>
      <c r="H78" s="1000" t="str">
        <f t="shared" si="17"/>
        <v>——</v>
      </c>
      <c r="I78" s="3065">
        <v>0.05</v>
      </c>
      <c r="J78" s="998">
        <f t="shared" si="18"/>
        <v>0</v>
      </c>
      <c r="K78" s="998">
        <f t="shared" si="19"/>
        <v>0</v>
      </c>
      <c r="L78" s="998">
        <v>0</v>
      </c>
      <c r="M78" s="998">
        <f t="shared" si="20"/>
        <v>0</v>
      </c>
      <c r="N78" s="998">
        <f t="shared" si="20"/>
        <v>0</v>
      </c>
      <c r="O78" s="1841"/>
      <c r="P78" s="1841"/>
      <c r="Z78" s="1842"/>
      <c r="AA78" s="1892"/>
      <c r="AG78" s="1055"/>
      <c r="AK78" s="1892"/>
    </row>
    <row r="79" spans="1:37" ht="39.6">
      <c r="A79" s="1967" t="s">
        <v>2061</v>
      </c>
      <c r="B79" s="1970" t="str">
        <f>估价对象房地状况!C20</f>
        <v>区域自然环境：；人文环境；综合评价环境状况较好</v>
      </c>
      <c r="C79" s="1884"/>
      <c r="D79" s="999">
        <f t="shared" si="16"/>
        <v>0</v>
      </c>
      <c r="E79" s="702"/>
      <c r="F79" s="1672"/>
      <c r="G79" s="997"/>
      <c r="H79" s="1000" t="str">
        <f t="shared" si="17"/>
        <v>——</v>
      </c>
      <c r="I79" s="3065">
        <v>0.12</v>
      </c>
      <c r="J79" s="998">
        <f t="shared" si="18"/>
        <v>0</v>
      </c>
      <c r="K79" s="998">
        <f t="shared" si="19"/>
        <v>0</v>
      </c>
      <c r="L79" s="998">
        <v>0</v>
      </c>
      <c r="M79" s="998">
        <f t="shared" si="20"/>
        <v>0</v>
      </c>
      <c r="N79" s="998">
        <f t="shared" si="20"/>
        <v>0</v>
      </c>
      <c r="Z79" s="1842"/>
      <c r="AA79" s="1892"/>
      <c r="AG79" s="1055"/>
      <c r="AK79" s="1892"/>
    </row>
    <row r="80" spans="1:37" ht="36.6" thickBot="1">
      <c r="A80" s="1974" t="s">
        <v>2068</v>
      </c>
      <c r="B80" s="1978"/>
      <c r="C80" s="1884"/>
      <c r="D80" s="999">
        <f t="shared" si="16"/>
        <v>0</v>
      </c>
      <c r="E80" s="703"/>
      <c r="F80" s="1672"/>
      <c r="G80" s="997"/>
      <c r="H80" s="1000" t="str">
        <f t="shared" si="17"/>
        <v>——</v>
      </c>
      <c r="I80" s="3066">
        <v>0.05</v>
      </c>
      <c r="J80" s="998">
        <f t="shared" si="18"/>
        <v>0</v>
      </c>
      <c r="K80" s="998">
        <f t="shared" si="19"/>
        <v>0</v>
      </c>
      <c r="L80" s="998">
        <v>0</v>
      </c>
      <c r="M80" s="998">
        <f t="shared" si="20"/>
        <v>0</v>
      </c>
      <c r="N80" s="998">
        <f t="shared" si="20"/>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1">SUMIF($J$82:$N$82,C83,J83:N83)</f>
        <v>0</v>
      </c>
      <c r="E83" s="699">
        <f>ROUND(SUM(D83:D90),4)</f>
        <v>0</v>
      </c>
      <c r="F83" s="1672" t="str">
        <f>IF(E2="工业",SUMIF(L1:L12,G2,N1:N12),"——")</f>
        <v>——</v>
      </c>
      <c r="G83" s="997"/>
      <c r="H83" s="1000" t="str">
        <f t="shared" ref="H83:H90" si="22">IFERROR(ROUNDDOWN($F$83*I83/2,4),"——")</f>
        <v>——</v>
      </c>
      <c r="I83" s="3065">
        <v>0.26</v>
      </c>
      <c r="J83" s="998">
        <f t="shared" ref="J83:J90" si="23">K83+$G83</f>
        <v>0</v>
      </c>
      <c r="K83" s="998">
        <f t="shared" ref="K83:K90" si="24">$L83+$G83</f>
        <v>0</v>
      </c>
      <c r="L83" s="998">
        <v>0</v>
      </c>
      <c r="M83" s="998">
        <f t="shared" ref="M83:N90" si="25">L83-$G83</f>
        <v>0</v>
      </c>
      <c r="N83" s="998">
        <f t="shared" si="25"/>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1"/>
        <v>0</v>
      </c>
      <c r="E84" s="702"/>
      <c r="F84" s="1672"/>
      <c r="G84" s="997"/>
      <c r="H84" s="1000" t="str">
        <f t="shared" si="22"/>
        <v>——</v>
      </c>
      <c r="I84" s="3065">
        <v>0.3</v>
      </c>
      <c r="J84" s="998">
        <f t="shared" si="23"/>
        <v>0</v>
      </c>
      <c r="K84" s="998">
        <f t="shared" si="24"/>
        <v>0</v>
      </c>
      <c r="L84" s="998">
        <v>0</v>
      </c>
      <c r="M84" s="998">
        <f t="shared" si="25"/>
        <v>0</v>
      </c>
      <c r="N84" s="998">
        <f t="shared" si="25"/>
        <v>0</v>
      </c>
      <c r="Z84" s="1842"/>
      <c r="AA84" s="1892"/>
      <c r="AG84" s="1055"/>
      <c r="AK84" s="1892"/>
    </row>
    <row r="85" spans="1:37" ht="48">
      <c r="A85" s="3067" t="s">
        <v>3266</v>
      </c>
      <c r="B85" s="1259">
        <f>估价对象房地状况!G17</f>
        <v>0</v>
      </c>
      <c r="C85" s="1884"/>
      <c r="D85" s="999">
        <f t="shared" si="21"/>
        <v>0</v>
      </c>
      <c r="E85" s="702"/>
      <c r="F85" s="1672"/>
      <c r="G85" s="997"/>
      <c r="H85" s="1000" t="str">
        <f t="shared" si="22"/>
        <v>——</v>
      </c>
      <c r="I85" s="3065">
        <v>0.1</v>
      </c>
      <c r="J85" s="998">
        <f t="shared" si="23"/>
        <v>0</v>
      </c>
      <c r="K85" s="998">
        <f t="shared" si="24"/>
        <v>0</v>
      </c>
      <c r="L85" s="998">
        <v>0</v>
      </c>
      <c r="M85" s="998">
        <f t="shared" si="25"/>
        <v>0</v>
      </c>
      <c r="N85" s="998">
        <f t="shared" si="25"/>
        <v>0</v>
      </c>
      <c r="Z85" s="1842"/>
      <c r="AA85" s="1892"/>
      <c r="AG85" s="1055"/>
      <c r="AK85" s="1892"/>
    </row>
    <row r="86" spans="1:37" ht="13.8">
      <c r="A86" s="1967" t="s">
        <v>2067</v>
      </c>
      <c r="B86" s="1259">
        <f>估价对象房地状况!G22</f>
        <v>0</v>
      </c>
      <c r="C86" s="1884"/>
      <c r="D86" s="999">
        <f t="shared" si="21"/>
        <v>0</v>
      </c>
      <c r="E86" s="702"/>
      <c r="F86" s="1672"/>
      <c r="G86" s="997"/>
      <c r="H86" s="1000" t="str">
        <f t="shared" si="22"/>
        <v>——</v>
      </c>
      <c r="I86" s="3065">
        <v>0.05</v>
      </c>
      <c r="J86" s="998">
        <f t="shared" si="23"/>
        <v>0</v>
      </c>
      <c r="K86" s="998">
        <f t="shared" si="24"/>
        <v>0</v>
      </c>
      <c r="L86" s="998">
        <v>0</v>
      </c>
      <c r="M86" s="998">
        <f t="shared" si="25"/>
        <v>0</v>
      </c>
      <c r="N86" s="998">
        <f t="shared" si="25"/>
        <v>0</v>
      </c>
      <c r="Z86" s="1842"/>
      <c r="AA86" s="1892"/>
      <c r="AG86" s="1055"/>
      <c r="AK86" s="1892"/>
    </row>
    <row r="87" spans="1:37" ht="26.4">
      <c r="A87" s="1967" t="s">
        <v>2059</v>
      </c>
      <c r="B87" s="1237" t="str">
        <f>估价对象房地状况!G19</f>
        <v>估价对象所在区域公共配套设施齐备情况</v>
      </c>
      <c r="C87" s="1884"/>
      <c r="D87" s="999">
        <f t="shared" si="21"/>
        <v>0</v>
      </c>
      <c r="E87" s="702"/>
      <c r="F87" s="1672"/>
      <c r="G87" s="997"/>
      <c r="H87" s="1000" t="str">
        <f t="shared" si="22"/>
        <v>——</v>
      </c>
      <c r="I87" s="3065">
        <v>0.06</v>
      </c>
      <c r="J87" s="998">
        <f t="shared" si="23"/>
        <v>0</v>
      </c>
      <c r="K87" s="998">
        <f t="shared" si="24"/>
        <v>0</v>
      </c>
      <c r="L87" s="998">
        <v>0</v>
      </c>
      <c r="M87" s="998">
        <f t="shared" si="25"/>
        <v>0</v>
      </c>
      <c r="N87" s="998">
        <f t="shared" si="25"/>
        <v>0</v>
      </c>
    </row>
    <row r="88" spans="1:37" ht="26.4">
      <c r="A88" s="1967" t="s">
        <v>2060</v>
      </c>
      <c r="B88" s="1237" t="str">
        <f>估价对象房地状况!G20</f>
        <v>估价对象所在区域基础设施水平</v>
      </c>
      <c r="C88" s="1884"/>
      <c r="D88" s="999">
        <f t="shared" si="21"/>
        <v>0</v>
      </c>
      <c r="E88" s="702"/>
      <c r="F88" s="1672"/>
      <c r="G88" s="997"/>
      <c r="H88" s="1000" t="str">
        <f t="shared" si="22"/>
        <v>——</v>
      </c>
      <c r="I88" s="3065">
        <v>0.12</v>
      </c>
      <c r="J88" s="998">
        <f t="shared" si="23"/>
        <v>0</v>
      </c>
      <c r="K88" s="998">
        <f t="shared" si="24"/>
        <v>0</v>
      </c>
      <c r="L88" s="998">
        <v>0</v>
      </c>
      <c r="M88" s="998">
        <f t="shared" si="25"/>
        <v>0</v>
      </c>
      <c r="N88" s="998">
        <f t="shared" si="25"/>
        <v>0</v>
      </c>
    </row>
    <row r="89" spans="1:37" ht="36">
      <c r="A89" s="1967" t="s">
        <v>2057</v>
      </c>
      <c r="B89" s="1972" t="s">
        <v>2071</v>
      </c>
      <c r="C89" s="1884"/>
      <c r="D89" s="999">
        <f t="shared" si="21"/>
        <v>0</v>
      </c>
      <c r="E89" s="702"/>
      <c r="F89" s="1672"/>
      <c r="G89" s="997"/>
      <c r="H89" s="1000" t="str">
        <f t="shared" si="22"/>
        <v>——</v>
      </c>
      <c r="I89" s="3065">
        <v>0.06</v>
      </c>
      <c r="J89" s="998">
        <f t="shared" si="23"/>
        <v>0</v>
      </c>
      <c r="K89" s="998">
        <f t="shared" si="24"/>
        <v>0</v>
      </c>
      <c r="L89" s="998">
        <v>0</v>
      </c>
      <c r="M89" s="998">
        <f t="shared" si="25"/>
        <v>0</v>
      </c>
      <c r="N89" s="998">
        <f t="shared" si="25"/>
        <v>0</v>
      </c>
    </row>
    <row r="90" spans="1:37" ht="40.200000000000003" thickBot="1">
      <c r="A90" s="1974" t="s">
        <v>2072</v>
      </c>
      <c r="B90" s="1979" t="str">
        <f>估价对象房地状况!G18</f>
        <v>该园区内是否有污染型企业，绿化情况，卫生条件，整体环境状况判断</v>
      </c>
      <c r="C90" s="1884"/>
      <c r="D90" s="999">
        <f t="shared" si="21"/>
        <v>0</v>
      </c>
      <c r="E90" s="703"/>
      <c r="F90" s="1672"/>
      <c r="G90" s="997"/>
      <c r="H90" s="1000" t="str">
        <f t="shared" si="22"/>
        <v>——</v>
      </c>
      <c r="I90" s="3066">
        <v>0.05</v>
      </c>
      <c r="J90" s="998">
        <f t="shared" si="23"/>
        <v>0</v>
      </c>
      <c r="K90" s="998">
        <f t="shared" si="24"/>
        <v>0</v>
      </c>
      <c r="L90" s="998">
        <v>0</v>
      </c>
      <c r="M90" s="998">
        <f t="shared" si="25"/>
        <v>0</v>
      </c>
      <c r="N90" s="998">
        <f t="shared" si="25"/>
        <v>0</v>
      </c>
    </row>
    <row r="91" spans="1:37" ht="13.8">
      <c r="A91" s="3075" t="s">
        <v>2608</v>
      </c>
      <c r="B91" s="3076">
        <f>1+E93</f>
        <v>1</v>
      </c>
      <c r="C91" s="3069"/>
      <c r="D91" s="3070"/>
      <c r="E91" s="1672"/>
      <c r="F91" s="1672"/>
      <c r="G91" s="3071"/>
      <c r="H91" s="3072"/>
      <c r="I91" s="3073"/>
      <c r="J91" s="3074"/>
      <c r="K91" s="3074"/>
      <c r="L91" s="3074"/>
      <c r="M91" s="3074"/>
      <c r="N91" s="3074"/>
    </row>
    <row r="92" spans="1:37" ht="25.2">
      <c r="A92" s="3077" t="s">
        <v>3267</v>
      </c>
      <c r="B92" s="2307"/>
      <c r="C92" s="2307" t="s">
        <v>3276</v>
      </c>
      <c r="D92" s="2307" t="s">
        <v>3277</v>
      </c>
      <c r="E92" s="3049" t="s">
        <v>3278</v>
      </c>
      <c r="F92" s="3079" t="s">
        <v>3279</v>
      </c>
      <c r="G92" s="2307" t="s">
        <v>3280</v>
      </c>
      <c r="H92" s="3086" t="s">
        <v>3283</v>
      </c>
      <c r="I92" s="2307" t="s">
        <v>3284</v>
      </c>
      <c r="J92" s="2147" t="s">
        <v>3285</v>
      </c>
      <c r="K92" s="2147" t="s">
        <v>3286</v>
      </c>
      <c r="L92" s="2147" t="s">
        <v>3287</v>
      </c>
      <c r="M92" s="2147" t="s">
        <v>3288</v>
      </c>
      <c r="N92" s="2147" t="s">
        <v>3289</v>
      </c>
    </row>
    <row r="93" spans="1:37" ht="24">
      <c r="A93" s="3067" t="s">
        <v>3268</v>
      </c>
      <c r="B93" s="1218"/>
      <c r="C93" s="1884"/>
      <c r="D93" s="2307">
        <f>SUMIF($J$92:$N$92,C93,J93:N93)</f>
        <v>0</v>
      </c>
      <c r="E93" s="3080">
        <f>ROUND(SUM(D93:D101),4)</f>
        <v>0</v>
      </c>
      <c r="F93" s="1672" t="str">
        <f>IF(E2="公共服务",SUMIF(L1:L12,G2,N1:N12),"——")</f>
        <v>——</v>
      </c>
      <c r="G93" s="3071"/>
      <c r="H93" s="3116" t="str">
        <f>IFERROR(ROUNDDOWN($F$93*I93/2,4),"——")</f>
        <v>——</v>
      </c>
      <c r="I93" s="3065">
        <v>0.25</v>
      </c>
      <c r="J93" s="1909">
        <f t="shared" ref="J93:J101" si="26">K93+$G93</f>
        <v>0</v>
      </c>
      <c r="K93" s="1909">
        <f t="shared" ref="K93:K101" si="27">$L93+$G93</f>
        <v>0</v>
      </c>
      <c r="L93" s="1909">
        <v>0</v>
      </c>
      <c r="M93" s="1909">
        <f t="shared" ref="M93:N101" si="28">L93-$G93</f>
        <v>0</v>
      </c>
      <c r="N93" s="1909">
        <f t="shared" si="28"/>
        <v>0</v>
      </c>
    </row>
    <row r="94" spans="1:37" ht="52.8">
      <c r="A94" s="3077" t="s">
        <v>3269</v>
      </c>
      <c r="B94" s="3068" t="str">
        <f>估价对象房地状况!C18</f>
        <v>估价对象周边道路状况、公共交通通达情况、停车便捷程度，综合评价交通便捷度较好</v>
      </c>
      <c r="C94" s="1884"/>
      <c r="D94" s="2307">
        <f t="shared" ref="D94:D101" si="29">SUMIF($J$60:$N$60,C94,J94:N94)</f>
        <v>0</v>
      </c>
      <c r="E94" s="3081"/>
      <c r="F94" s="1672"/>
      <c r="G94" s="3071"/>
      <c r="H94" s="3116" t="str">
        <f>IFERROR(ROUNDDOWN($F$93*I94/2,4),"——")</f>
        <v>——</v>
      </c>
      <c r="I94" s="3065">
        <v>0.26</v>
      </c>
      <c r="J94" s="1909">
        <f t="shared" si="26"/>
        <v>0</v>
      </c>
      <c r="K94" s="1909">
        <f t="shared" si="27"/>
        <v>0</v>
      </c>
      <c r="L94" s="1909">
        <v>0</v>
      </c>
      <c r="M94" s="1909">
        <f t="shared" si="28"/>
        <v>0</v>
      </c>
      <c r="N94" s="1909">
        <f t="shared" si="28"/>
        <v>0</v>
      </c>
    </row>
    <row r="95" spans="1:37" ht="48">
      <c r="A95" s="3067" t="s">
        <v>3265</v>
      </c>
      <c r="B95" s="3068">
        <f>估价对象房地状况!C19</f>
        <v>0</v>
      </c>
      <c r="C95" s="1884"/>
      <c r="D95" s="2307">
        <f t="shared" si="29"/>
        <v>0</v>
      </c>
      <c r="E95" s="3081"/>
      <c r="F95" s="1672"/>
      <c r="G95" s="3071"/>
      <c r="H95" s="3116" t="str">
        <f t="shared" ref="H95:H101" si="30">IFERROR(ROUNDDOWN($F$93*I95/2,4),"——")</f>
        <v>——</v>
      </c>
      <c r="I95" s="3065">
        <v>0.11</v>
      </c>
      <c r="J95" s="1909">
        <f t="shared" si="26"/>
        <v>0</v>
      </c>
      <c r="K95" s="1909">
        <f t="shared" si="27"/>
        <v>0</v>
      </c>
      <c r="L95" s="1909">
        <v>0</v>
      </c>
      <c r="M95" s="1909">
        <f t="shared" si="28"/>
        <v>0</v>
      </c>
      <c r="N95" s="1909">
        <f t="shared" si="28"/>
        <v>0</v>
      </c>
    </row>
    <row r="96" spans="1:37" ht="37.200000000000003">
      <c r="A96" s="3077" t="s">
        <v>3270</v>
      </c>
      <c r="B96" s="3083" t="s">
        <v>3281</v>
      </c>
      <c r="C96" s="1884"/>
      <c r="D96" s="2307">
        <f t="shared" si="29"/>
        <v>0</v>
      </c>
      <c r="E96" s="3081"/>
      <c r="F96" s="1672"/>
      <c r="G96" s="3071"/>
      <c r="H96" s="3116" t="str">
        <f t="shared" si="30"/>
        <v>——</v>
      </c>
      <c r="I96" s="3065">
        <v>0.05</v>
      </c>
      <c r="J96" s="1909">
        <f t="shared" si="26"/>
        <v>0</v>
      </c>
      <c r="K96" s="1909">
        <f t="shared" si="27"/>
        <v>0</v>
      </c>
      <c r="L96" s="1909">
        <v>0</v>
      </c>
      <c r="M96" s="1909">
        <f t="shared" si="28"/>
        <v>0</v>
      </c>
      <c r="N96" s="1909">
        <f t="shared" si="28"/>
        <v>0</v>
      </c>
    </row>
    <row r="97" spans="1:14" ht="24">
      <c r="A97" s="3077" t="s">
        <v>3271</v>
      </c>
      <c r="B97" s="3068" t="str">
        <f>估价对象房地状况!C24</f>
        <v>主干道-工人体育场路</v>
      </c>
      <c r="C97" s="1884"/>
      <c r="D97" s="2307">
        <f t="shared" si="29"/>
        <v>0</v>
      </c>
      <c r="E97" s="3081"/>
      <c r="F97" s="1672"/>
      <c r="G97" s="3071"/>
      <c r="H97" s="3116" t="str">
        <f t="shared" si="30"/>
        <v>——</v>
      </c>
      <c r="I97" s="3065">
        <v>0.05</v>
      </c>
      <c r="J97" s="1909">
        <f t="shared" si="26"/>
        <v>0</v>
      </c>
      <c r="K97" s="1909">
        <f t="shared" si="27"/>
        <v>0</v>
      </c>
      <c r="L97" s="1909">
        <v>0</v>
      </c>
      <c r="M97" s="1909">
        <f t="shared" si="28"/>
        <v>0</v>
      </c>
      <c r="N97" s="1909">
        <f t="shared" si="28"/>
        <v>0</v>
      </c>
    </row>
    <row r="98" spans="1:14" ht="36">
      <c r="A98" s="3077" t="s">
        <v>3272</v>
      </c>
      <c r="B98" s="3084" t="s">
        <v>3282</v>
      </c>
      <c r="C98" s="1884"/>
      <c r="D98" s="2307">
        <f t="shared" si="29"/>
        <v>0</v>
      </c>
      <c r="E98" s="3081"/>
      <c r="F98" s="1672"/>
      <c r="G98" s="3071"/>
      <c r="H98" s="3116" t="str">
        <f t="shared" si="30"/>
        <v>——</v>
      </c>
      <c r="I98" s="3065">
        <v>0.06</v>
      </c>
      <c r="J98" s="1909">
        <f t="shared" si="26"/>
        <v>0</v>
      </c>
      <c r="K98" s="1909">
        <f t="shared" si="27"/>
        <v>0</v>
      </c>
      <c r="L98" s="1909">
        <v>0</v>
      </c>
      <c r="M98" s="1909">
        <f t="shared" si="28"/>
        <v>0</v>
      </c>
      <c r="N98" s="1909">
        <f t="shared" si="28"/>
        <v>0</v>
      </c>
    </row>
    <row r="99" spans="1:14" ht="26.4">
      <c r="A99" s="3077" t="s">
        <v>3273</v>
      </c>
      <c r="B99" s="3068" t="str">
        <f>估价对象房地状况!C21</f>
        <v>估价对象所在区域公共配套设施齐备情况较好</v>
      </c>
      <c r="C99" s="1884"/>
      <c r="D99" s="2307">
        <f t="shared" si="29"/>
        <v>0</v>
      </c>
      <c r="E99" s="3081"/>
      <c r="F99" s="1672"/>
      <c r="G99" s="3071"/>
      <c r="H99" s="3116" t="str">
        <f t="shared" si="30"/>
        <v>——</v>
      </c>
      <c r="I99" s="3065">
        <v>0.06</v>
      </c>
      <c r="J99" s="1909">
        <f t="shared" si="26"/>
        <v>0</v>
      </c>
      <c r="K99" s="1909">
        <f t="shared" si="27"/>
        <v>0</v>
      </c>
      <c r="L99" s="1909">
        <v>0</v>
      </c>
      <c r="M99" s="1909">
        <f t="shared" si="28"/>
        <v>0</v>
      </c>
      <c r="N99" s="1909">
        <f t="shared" si="28"/>
        <v>0</v>
      </c>
    </row>
    <row r="100" spans="1:14" ht="26.4">
      <c r="A100" s="3077" t="s">
        <v>3274</v>
      </c>
      <c r="B100" s="3068" t="str">
        <f>估价对象房地状况!C22</f>
        <v>估价对象所在区域基础设施水平</v>
      </c>
      <c r="C100" s="1884"/>
      <c r="D100" s="2307">
        <f t="shared" si="29"/>
        <v>0</v>
      </c>
      <c r="E100" s="3081"/>
      <c r="F100" s="1672"/>
      <c r="G100" s="3071"/>
      <c r="H100" s="3116" t="str">
        <f t="shared" si="30"/>
        <v>——</v>
      </c>
      <c r="I100" s="3065">
        <v>0.09</v>
      </c>
      <c r="J100" s="1909">
        <f t="shared" si="26"/>
        <v>0</v>
      </c>
      <c r="K100" s="1909">
        <f t="shared" si="27"/>
        <v>0</v>
      </c>
      <c r="L100" s="1909">
        <v>0</v>
      </c>
      <c r="M100" s="1909">
        <f t="shared" si="28"/>
        <v>0</v>
      </c>
      <c r="N100" s="1909">
        <f t="shared" si="28"/>
        <v>0</v>
      </c>
    </row>
    <row r="101" spans="1:14" ht="40.200000000000003" thickBot="1">
      <c r="A101" s="3078" t="s">
        <v>3275</v>
      </c>
      <c r="B101" s="3085" t="str">
        <f>估价对象房地状况!C20</f>
        <v>区域自然环境：；人文环境；综合评价环境状况较好</v>
      </c>
      <c r="C101" s="1884"/>
      <c r="D101" s="2307">
        <f t="shared" si="29"/>
        <v>0</v>
      </c>
      <c r="E101" s="3082"/>
      <c r="F101" s="1672"/>
      <c r="G101" s="3071"/>
      <c r="H101" s="3116" t="str">
        <f t="shared" si="30"/>
        <v>——</v>
      </c>
      <c r="I101" s="3066">
        <v>7.0000000000000007E-2</v>
      </c>
      <c r="J101" s="1909">
        <f t="shared" si="26"/>
        <v>0</v>
      </c>
      <c r="K101" s="1909">
        <f t="shared" si="27"/>
        <v>0</v>
      </c>
      <c r="L101" s="1909">
        <v>0</v>
      </c>
      <c r="M101" s="1909">
        <f t="shared" si="28"/>
        <v>0</v>
      </c>
      <c r="N101" s="1909">
        <f t="shared" si="28"/>
        <v>0</v>
      </c>
    </row>
    <row r="103" spans="1:14">
      <c r="A103" s="3385" t="s">
        <v>3290</v>
      </c>
      <c r="B103" s="3385"/>
      <c r="C103" s="3385"/>
      <c r="D103" s="3385"/>
      <c r="E103" s="3385"/>
      <c r="F103" s="3385"/>
      <c r="G103" s="3385"/>
      <c r="H103" s="3385"/>
      <c r="I103" s="3385"/>
      <c r="J103" s="3385"/>
      <c r="K103" s="1664"/>
      <c r="L103" s="1664"/>
      <c r="M103" s="1664"/>
      <c r="N103" s="1664"/>
    </row>
    <row r="104" spans="1:14">
      <c r="A104" s="3386" t="s">
        <v>3291</v>
      </c>
      <c r="B104" s="3386" t="s">
        <v>3292</v>
      </c>
      <c r="C104" s="3087" t="s">
        <v>3293</v>
      </c>
      <c r="D104" s="3088"/>
      <c r="E104" s="3088"/>
      <c r="F104" s="3088"/>
      <c r="G104" s="3088"/>
      <c r="H104" s="3088"/>
      <c r="I104" s="3088"/>
      <c r="J104" s="3089"/>
      <c r="K104" s="3090"/>
      <c r="L104" s="3090"/>
      <c r="M104" s="3090"/>
      <c r="N104" s="3090"/>
    </row>
    <row r="105" spans="1:14">
      <c r="A105" s="3386"/>
      <c r="B105" s="3386"/>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372"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7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7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7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7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73"/>
      <c r="B111" s="3091" t="s">
        <v>3264</v>
      </c>
      <c r="C111" s="3092">
        <f>$I$3</f>
        <v>1</v>
      </c>
      <c r="D111" s="3092">
        <f t="shared" ref="D111:M111" si="31">$I$3</f>
        <v>1</v>
      </c>
      <c r="E111" s="3092">
        <f t="shared" si="31"/>
        <v>1</v>
      </c>
      <c r="F111" s="3092">
        <f t="shared" si="31"/>
        <v>1</v>
      </c>
      <c r="G111" s="3092">
        <f t="shared" si="31"/>
        <v>1</v>
      </c>
      <c r="H111" s="3092">
        <f t="shared" si="31"/>
        <v>1</v>
      </c>
      <c r="I111" s="3092">
        <f t="shared" si="31"/>
        <v>1</v>
      </c>
      <c r="J111" s="3092">
        <f t="shared" si="31"/>
        <v>1</v>
      </c>
      <c r="K111" s="3092">
        <f t="shared" si="31"/>
        <v>1</v>
      </c>
      <c r="L111" s="3092">
        <f t="shared" si="31"/>
        <v>1</v>
      </c>
      <c r="M111" s="3092">
        <f t="shared" si="31"/>
        <v>1</v>
      </c>
      <c r="N111" s="3092">
        <f>$I$3</f>
        <v>1</v>
      </c>
    </row>
    <row r="112" spans="1:14">
      <c r="A112" s="3374"/>
      <c r="B112" s="3091">
        <v>6</v>
      </c>
      <c r="C112" s="3086">
        <f>(-0.5556*(C111^2)-0.2719*C111+8944)*(10^(-4))</f>
        <v>0.89431725000000006</v>
      </c>
      <c r="D112" s="3086">
        <f>(-0.5556*(D111^2)-0.2719*D111+8944)*(10^(-4))</f>
        <v>0.89431725000000006</v>
      </c>
      <c r="E112" s="3086">
        <f>(-0.7912*(E111^2)-11.3794*E111+8482)*(10^(-4))</f>
        <v>0.84698294000000007</v>
      </c>
      <c r="F112" s="3086">
        <f>(-0.7912*(F111^2)-11.3794*F111+8482)*(10^(-4))</f>
        <v>0.84698294000000007</v>
      </c>
      <c r="G112" s="3086">
        <f>(-0.7912*(G111^2)-11.3794*G111+8482)*(10^(-4))</f>
        <v>0.84698294000000007</v>
      </c>
      <c r="H112" s="3086">
        <f>(-0.7912*(H111^2)-11.3794*H111+8482)*(10^(-4))</f>
        <v>0.84698294000000007</v>
      </c>
      <c r="I112" s="3086">
        <f>(-0.7912*(I111^2)-11.3794*I111+8482)*(10^(-4))</f>
        <v>0.84698294000000007</v>
      </c>
      <c r="J112" s="3086">
        <f>(-0.989*(J111^2)-63.78*J111+7771)*(10^(-4))</f>
        <v>0.77062310000000001</v>
      </c>
      <c r="K112" s="3086">
        <f>(-0.989*(K111^2)-63.78*K111+7771)*(10^(-4))</f>
        <v>0.77062310000000001</v>
      </c>
      <c r="L112" s="3086">
        <f>(-0.989*(L111^2)-63.78*L111+7771)*(10^(-4))</f>
        <v>0.77062310000000001</v>
      </c>
      <c r="M112" s="3086">
        <f>(-0.989*(M111^2)-63.78*M111+7771)*(10^(-4))</f>
        <v>0.77062310000000001</v>
      </c>
      <c r="N112" s="3086">
        <f>(-0.989*(N111^2)-63.78*N111+7771)*(10^(-4))</f>
        <v>0.77062310000000001</v>
      </c>
    </row>
    <row r="113" spans="1:14">
      <c r="A113" s="3375" t="s">
        <v>3307</v>
      </c>
      <c r="B113" s="3375"/>
      <c r="C113" s="3375"/>
      <c r="D113" s="3375"/>
      <c r="E113" s="3375"/>
      <c r="F113" s="3375"/>
      <c r="G113" s="3375"/>
      <c r="H113" s="3375"/>
      <c r="I113" s="3375"/>
      <c r="J113" s="3375"/>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8" thickBot="1">
      <c r="A115" s="3094"/>
      <c r="B115" s="3094"/>
      <c r="C115" s="3094"/>
      <c r="D115" s="3094"/>
      <c r="E115" s="3094"/>
      <c r="F115" s="3094"/>
      <c r="G115" s="3094"/>
      <c r="H115" s="3094"/>
      <c r="I115" s="3094"/>
      <c r="J115" s="3094"/>
      <c r="K115" s="1961"/>
      <c r="L115" s="3094"/>
      <c r="M115" s="3094"/>
      <c r="N115" s="3094"/>
    </row>
    <row r="116" spans="1:14" ht="25.8" thickBot="1">
      <c r="A116" s="3095" t="s">
        <v>3308</v>
      </c>
      <c r="B116" s="3111">
        <f>G3</f>
        <v>3.5</v>
      </c>
      <c r="C116" s="3096" t="s">
        <v>3309</v>
      </c>
      <c r="D116" s="3097">
        <f>SUMPRODUCT((A118:A122=F116)*(B117:M117=H116)*B118:M122)</f>
        <v>0.95830000000000004</v>
      </c>
      <c r="E116" s="160" t="s">
        <v>3310</v>
      </c>
      <c r="F116" s="3098" t="str">
        <f>E2</f>
        <v>商业</v>
      </c>
      <c r="G116" s="160" t="s">
        <v>3311</v>
      </c>
      <c r="H116" s="3098" t="str">
        <f>G2</f>
        <v>一级</v>
      </c>
      <c r="I116" s="160"/>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0.95830000000000004</v>
      </c>
      <c r="C118" s="3086">
        <f>B118</f>
        <v>0.95830000000000004</v>
      </c>
      <c r="D118" s="3086">
        <f>ROUND(0.949-0.014*B116,4)</f>
        <v>0.9</v>
      </c>
      <c r="E118" s="3086">
        <f>D118</f>
        <v>0.9</v>
      </c>
      <c r="F118" s="3086">
        <f>E118</f>
        <v>0.9</v>
      </c>
      <c r="G118" s="3086">
        <f>F118</f>
        <v>0.9</v>
      </c>
      <c r="H118" s="3086">
        <f>G118</f>
        <v>0.9</v>
      </c>
      <c r="I118" s="3086">
        <f>ROUND(0.8486-0.018*B116,4)</f>
        <v>0.78559999999999997</v>
      </c>
      <c r="J118" s="3086">
        <f t="shared" ref="J118:M122" si="32">I118</f>
        <v>0.78559999999999997</v>
      </c>
      <c r="K118" s="3086">
        <f t="shared" si="32"/>
        <v>0.78559999999999997</v>
      </c>
      <c r="L118" s="3086">
        <f t="shared" si="32"/>
        <v>0.78559999999999997</v>
      </c>
      <c r="M118" s="3106">
        <f t="shared" si="32"/>
        <v>0.78559999999999997</v>
      </c>
      <c r="N118" s="3094"/>
    </row>
    <row r="119" spans="1:14">
      <c r="A119" s="3054" t="s">
        <v>3325</v>
      </c>
      <c r="B119" s="3086">
        <f>ROUND(0.993-0.0112*B116,4)</f>
        <v>0.95379999999999998</v>
      </c>
      <c r="C119" s="3086">
        <f>B119</f>
        <v>0.95379999999999998</v>
      </c>
      <c r="D119" s="3086">
        <f>ROUND(0.9415-0.0142*B116,4)</f>
        <v>0.89180000000000004</v>
      </c>
      <c r="E119" s="3086">
        <f t="shared" ref="E119:H120" si="33">D119</f>
        <v>0.89180000000000004</v>
      </c>
      <c r="F119" s="3086">
        <f t="shared" si="33"/>
        <v>0.89180000000000004</v>
      </c>
      <c r="G119" s="3086">
        <f t="shared" si="33"/>
        <v>0.89180000000000004</v>
      </c>
      <c r="H119" s="3086">
        <f t="shared" si="33"/>
        <v>0.89180000000000004</v>
      </c>
      <c r="I119" s="3086">
        <f>ROUND(0.838-0.0182*B116,4)</f>
        <v>0.77429999999999999</v>
      </c>
      <c r="J119" s="3086">
        <f t="shared" si="32"/>
        <v>0.77429999999999999</v>
      </c>
      <c r="K119" s="3086">
        <f t="shared" si="32"/>
        <v>0.77429999999999999</v>
      </c>
      <c r="L119" s="3086">
        <f t="shared" si="32"/>
        <v>0.77429999999999999</v>
      </c>
      <c r="M119" s="3106">
        <f t="shared" si="32"/>
        <v>0.77429999999999999</v>
      </c>
      <c r="N119" s="3094"/>
    </row>
    <row r="120" spans="1:14">
      <c r="A120" s="3054" t="s">
        <v>3326</v>
      </c>
      <c r="B120" s="3086">
        <f>ROUND(0.9448-0.0115*B116,4)</f>
        <v>0.90459999999999996</v>
      </c>
      <c r="C120" s="3086">
        <f>B120</f>
        <v>0.90459999999999996</v>
      </c>
      <c r="D120" s="3086">
        <f>ROUND(0.937-0.0145*B116,4)</f>
        <v>0.88629999999999998</v>
      </c>
      <c r="E120" s="3086">
        <f t="shared" si="33"/>
        <v>0.88629999999999998</v>
      </c>
      <c r="F120" s="3086">
        <f t="shared" si="33"/>
        <v>0.88629999999999998</v>
      </c>
      <c r="G120" s="3086">
        <f t="shared" si="33"/>
        <v>0.88629999999999998</v>
      </c>
      <c r="H120" s="3086">
        <f t="shared" si="33"/>
        <v>0.88629999999999998</v>
      </c>
      <c r="I120" s="3086">
        <f>ROUND(0.7965-0.0185*B116,4)</f>
        <v>0.73180000000000001</v>
      </c>
      <c r="J120" s="3086">
        <f t="shared" si="32"/>
        <v>0.73180000000000001</v>
      </c>
      <c r="K120" s="3086">
        <f t="shared" si="32"/>
        <v>0.73180000000000001</v>
      </c>
      <c r="L120" s="3086">
        <f t="shared" si="32"/>
        <v>0.73180000000000001</v>
      </c>
      <c r="M120" s="3106">
        <f t="shared" si="32"/>
        <v>0.73180000000000001</v>
      </c>
      <c r="N120" s="3094"/>
    </row>
    <row r="121" spans="1:14" ht="13.8" thickBot="1">
      <c r="A121" s="3107" t="s">
        <v>3327</v>
      </c>
      <c r="B121" s="3108">
        <f>ROUND(0.7836-0.012*B116,4)</f>
        <v>0.74160000000000004</v>
      </c>
      <c r="C121" s="3108">
        <f>B121</f>
        <v>0.74160000000000004</v>
      </c>
      <c r="D121" s="3108">
        <f>ROUND(0.753-0.015*B116,4)</f>
        <v>0.70050000000000001</v>
      </c>
      <c r="E121" s="3108">
        <f>D121</f>
        <v>0.70050000000000001</v>
      </c>
      <c r="F121" s="3108">
        <f>E121</f>
        <v>0.70050000000000001</v>
      </c>
      <c r="G121" s="3108">
        <f>ROUND(0.6612-0.018*B116,4)</f>
        <v>0.59819999999999995</v>
      </c>
      <c r="H121" s="3108">
        <f>G121</f>
        <v>0.59819999999999995</v>
      </c>
      <c r="I121" s="3108">
        <f>ROUND(0.5905-0.019*B116,4)</f>
        <v>0.52400000000000002</v>
      </c>
      <c r="J121" s="3108">
        <f t="shared" si="32"/>
        <v>0.52400000000000002</v>
      </c>
      <c r="K121" s="3108">
        <f t="shared" si="32"/>
        <v>0.52400000000000002</v>
      </c>
      <c r="L121" s="3108">
        <f t="shared" si="32"/>
        <v>0.52400000000000002</v>
      </c>
      <c r="M121" s="3109">
        <f t="shared" si="32"/>
        <v>0.52400000000000002</v>
      </c>
      <c r="N121" s="3094"/>
    </row>
    <row r="122" spans="1:14">
      <c r="A122" s="3110" t="s">
        <v>2608</v>
      </c>
      <c r="B122" s="3086">
        <f>ROUND(0.9404-0.0106*B116,4)</f>
        <v>0.90329999999999999</v>
      </c>
      <c r="C122" s="3086">
        <f>B122</f>
        <v>0.90329999999999999</v>
      </c>
      <c r="D122" s="3086">
        <f>ROUND(0.8955-0.0135*B116,4)</f>
        <v>0.84830000000000005</v>
      </c>
      <c r="E122" s="3086">
        <f>D122</f>
        <v>0.84830000000000005</v>
      </c>
      <c r="F122" s="3086">
        <f>E122</f>
        <v>0.84830000000000005</v>
      </c>
      <c r="G122" s="3086">
        <f>F122</f>
        <v>0.84830000000000005</v>
      </c>
      <c r="H122" s="3086">
        <f>G122</f>
        <v>0.84830000000000005</v>
      </c>
      <c r="I122" s="3086">
        <f>ROUND(0.7632-0.0166*B116,4)</f>
        <v>0.70509999999999995</v>
      </c>
      <c r="J122" s="3086">
        <f t="shared" si="32"/>
        <v>0.70509999999999995</v>
      </c>
      <c r="K122" s="3086">
        <f t="shared" si="32"/>
        <v>0.70509999999999995</v>
      </c>
      <c r="L122" s="3086">
        <f t="shared" si="32"/>
        <v>0.70509999999999995</v>
      </c>
      <c r="M122" s="3106">
        <f t="shared" si="32"/>
        <v>0.70509999999999995</v>
      </c>
      <c r="N122" s="309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9" priority="6" stopIfTrue="1" operator="notEqual">
      <formula>"——"</formula>
    </cfRule>
  </conditionalFormatting>
  <conditionalFormatting sqref="F61">
    <cfRule type="cellIs" dxfId="108" priority="5" stopIfTrue="1" operator="notEqual">
      <formula>"——"</formula>
    </cfRule>
  </conditionalFormatting>
  <conditionalFormatting sqref="F72">
    <cfRule type="cellIs" dxfId="107" priority="4" stopIfTrue="1" operator="notEqual">
      <formula>"——"</formula>
    </cfRule>
  </conditionalFormatting>
  <conditionalFormatting sqref="F83">
    <cfRule type="cellIs" dxfId="106" priority="3" stopIfTrue="1" operator="notEqual">
      <formula>"——"</formula>
    </cfRule>
  </conditionalFormatting>
  <conditionalFormatting sqref="H50:H58 H61:H69 H72:H80 H83:H91">
    <cfRule type="cellIs" dxfId="105" priority="2" operator="notEqual">
      <formula>"——"</formula>
    </cfRule>
  </conditionalFormatting>
  <conditionalFormatting sqref="H93:H101">
    <cfRule type="cellIs" dxfId="104"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K23" sqref="K23"/>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59">
        <f>MATCH(B1,'数据-取费表'!A6:A16,0)+5</f>
        <v>8</v>
      </c>
    </row>
    <row r="2" spans="1:9" s="190" customFormat="1" ht="18" customHeight="1">
      <c r="A2" s="191" t="s">
        <v>1462</v>
      </c>
      <c r="B2" s="192">
        <f ca="1">IF(D2="——",C52,C52-E2)</f>
        <v>39230</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17873</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19976</v>
      </c>
      <c r="D5" s="201" t="s">
        <v>1469</v>
      </c>
      <c r="E5" s="202" t="s">
        <v>1470</v>
      </c>
      <c r="F5" s="202" t="s">
        <v>1471</v>
      </c>
      <c r="G5" s="203"/>
    </row>
    <row r="6" spans="1:9" s="204" customFormat="1" ht="13.5" customHeight="1">
      <c r="A6" s="729" t="s">
        <v>1472</v>
      </c>
      <c r="B6" s="205" t="s">
        <v>1473</v>
      </c>
      <c r="C6" s="206">
        <f>基准地价修正!B2</f>
        <v>18959</v>
      </c>
      <c r="D6" s="207"/>
      <c r="E6" s="208"/>
      <c r="F6" s="208"/>
      <c r="G6" s="209"/>
    </row>
    <row r="7" spans="1:9" s="204" customFormat="1" ht="13.5" customHeight="1">
      <c r="A7" s="729" t="s">
        <v>1474</v>
      </c>
      <c r="B7" s="205" t="s">
        <v>1475</v>
      </c>
      <c r="C7" s="210">
        <f>ROUND(C6*F7,0)</f>
        <v>578</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439</v>
      </c>
      <c r="D8" s="212"/>
      <c r="E8" s="210"/>
      <c r="F8" s="211"/>
      <c r="G8" s="1711" t="s">
        <v>3474</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160</v>
      </c>
      <c r="F9" s="211"/>
      <c r="G9" s="1712" t="s">
        <v>3475</v>
      </c>
      <c r="H9" s="1067"/>
      <c r="I9" s="1713" t="s">
        <v>1479</v>
      </c>
    </row>
    <row r="10" spans="1:9" s="204" customFormat="1" ht="13.5" customHeight="1">
      <c r="A10" s="730" t="s">
        <v>356</v>
      </c>
      <c r="B10" s="214" t="s">
        <v>1480</v>
      </c>
      <c r="C10" s="215">
        <f ca="1">ROUND(D10*E10/10000,0)</f>
        <v>439</v>
      </c>
      <c r="D10" s="792">
        <f ca="1">IF(B1="",'数据-汇总表'!E6,IF(INDIRECT("'数据-取费表'!c"&amp;$G$1)="住宅",INDIRECT("'数据-取费表'!s"&amp;$G$1),INDIRECT("'数据-取费表'!k"&amp;$G$1)+INDIRECT("'数据-取费表'!s"&amp;$G$1)))</f>
        <v>21949.910000000098</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3185" t="str">
        <f>IF(G19="已包含在土地取得成本中","0",ROUND(D19*E19/10000,0))</f>
        <v>0</v>
      </c>
      <c r="D19" s="202">
        <f ca="1">D9+D10</f>
        <v>21949.910000000098</v>
      </c>
      <c r="E19" s="201">
        <f>'数据-取费表'!B31</f>
        <v>200</v>
      </c>
      <c r="F19" s="221"/>
      <c r="G19" s="1711" t="s">
        <v>3473</v>
      </c>
    </row>
    <row r="20" spans="1:7" s="204" customFormat="1" ht="13.5" customHeight="1">
      <c r="A20" s="245" t="s">
        <v>1493</v>
      </c>
      <c r="B20" s="200" t="s">
        <v>1494</v>
      </c>
      <c r="C20" s="222">
        <f>ROUND((C5+C19)*F20,0)</f>
        <v>599</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1607</v>
      </c>
      <c r="D22" s="225">
        <f ca="1">C26</f>
        <v>8.0000000000000004E-4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1584</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23</v>
      </c>
      <c r="D25" s="228"/>
      <c r="E25" s="231"/>
      <c r="F25" s="229"/>
      <c r="G25" s="232" t="s">
        <v>1510</v>
      </c>
    </row>
    <row r="26" spans="1:7" s="204" customFormat="1">
      <c r="A26" s="731" t="s">
        <v>350</v>
      </c>
      <c r="B26" s="205" t="s">
        <v>1511</v>
      </c>
      <c r="C26" s="228">
        <f ca="1">ROUND(IF('数据-取费表'!B22&lt;=1,F21*F22*'数据-取费表'!B23/2,F21*(POWER((1+F22),'数据-取费表'!B23/2)-1)),4)</f>
        <v>8.0000000000000004E-4</v>
      </c>
      <c r="D26" s="228"/>
      <c r="E26" s="231"/>
      <c r="F26" s="229"/>
      <c r="G26" s="233"/>
    </row>
    <row r="27" spans="1:7" s="204" customFormat="1" ht="26.4">
      <c r="A27" s="245" t="s">
        <v>1512</v>
      </c>
      <c r="B27" s="234" t="s">
        <v>1513</v>
      </c>
      <c r="C27" s="235">
        <f ca="1">C28</f>
        <v>1852</v>
      </c>
      <c r="D27" s="225">
        <f ca="1">C29</f>
        <v>1.8E-3</v>
      </c>
      <c r="E27" s="226" t="s">
        <v>1514</v>
      </c>
      <c r="F27" s="236">
        <f ca="1">IF(B1="",'数据-取费表'!Q16,INDIRECT("'数据-取费表'!q"&amp;$G$1))</f>
        <v>0.09</v>
      </c>
      <c r="G27" s="237" t="s">
        <v>1515</v>
      </c>
    </row>
    <row r="28" spans="1:7" s="204" customFormat="1" ht="13.5" customHeight="1">
      <c r="A28" s="731" t="s">
        <v>346</v>
      </c>
      <c r="B28" s="238" t="s">
        <v>1516</v>
      </c>
      <c r="C28" s="239">
        <f ca="1">ROUND((C5+C19+C20)*F27*'数据-取费表'!B21/'数据-取费表'!B20,0)</f>
        <v>1852</v>
      </c>
      <c r="D28" s="225"/>
      <c r="E28" s="226"/>
      <c r="F28" s="236"/>
      <c r="G28" s="237"/>
    </row>
    <row r="29" spans="1:7" s="204" customFormat="1" ht="13.5" customHeight="1">
      <c r="A29" s="731" t="s">
        <v>347</v>
      </c>
      <c r="B29" s="238" t="s">
        <v>1517</v>
      </c>
      <c r="C29" s="228">
        <f ca="1">ROUND(C21*F27*'数据-取费表'!B21/'数据-取费表'!B20,4)</f>
        <v>1.8E-3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26008</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13648</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12345</v>
      </c>
      <c r="D34" s="207"/>
      <c r="E34" s="210"/>
      <c r="F34" s="247">
        <f ca="1">IF('数据-取费表'!B24=0,1,IF(B1="",'数据-取费表'!N16,INDIRECT("'数据-取费表'!n"&amp;$G$1)))</f>
        <v>1</v>
      </c>
      <c r="G34" s="209" t="s">
        <v>1526</v>
      </c>
    </row>
    <row r="35" spans="1:7" ht="13.5" customHeight="1">
      <c r="A35" s="731" t="s">
        <v>351</v>
      </c>
      <c r="B35" s="205" t="s">
        <v>1527</v>
      </c>
      <c r="C35" s="210">
        <f ca="1">ROUND(C34*F35,0)</f>
        <v>617</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439</v>
      </c>
      <c r="D37" s="207">
        <f ca="1">D19</f>
        <v>21949.910000000098</v>
      </c>
      <c r="E37" s="239">
        <f>'数据-取费表'!B35</f>
        <v>200</v>
      </c>
      <c r="F37" s="249"/>
      <c r="G37" s="251" t="s">
        <v>1532</v>
      </c>
    </row>
    <row r="38" spans="1:7" ht="13.5" customHeight="1">
      <c r="A38" s="731" t="s">
        <v>354</v>
      </c>
      <c r="B38" s="205" t="s">
        <v>1533</v>
      </c>
      <c r="C38" s="210">
        <f ca="1">ROUND(C34*F38,0)</f>
        <v>247</v>
      </c>
      <c r="D38" s="210"/>
      <c r="E38" s="210"/>
      <c r="F38" s="249">
        <f>'数据-取费表'!B36</f>
        <v>0.02</v>
      </c>
      <c r="G38" s="209" t="s">
        <v>1528</v>
      </c>
    </row>
    <row r="39" spans="1:7" s="204" customFormat="1" ht="13.5" customHeight="1">
      <c r="A39" s="245" t="s">
        <v>1534</v>
      </c>
      <c r="B39" s="200" t="s">
        <v>1535</v>
      </c>
      <c r="C39" s="222">
        <f ca="1">ROUND(C33*F20,0)</f>
        <v>409</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547</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531</v>
      </c>
      <c r="D42" s="228"/>
      <c r="E42" s="228"/>
      <c r="F42" s="229"/>
      <c r="G42" s="3391" t="s">
        <v>1544</v>
      </c>
    </row>
    <row r="43" spans="1:7" ht="13.5" customHeight="1">
      <c r="A43" s="731" t="s">
        <v>347</v>
      </c>
      <c r="B43" s="205" t="s">
        <v>1545</v>
      </c>
      <c r="C43" s="228">
        <f ca="1">ROUND(IF('数据-取费表'!B22&lt;=1,C39*F22*'数据-取费表'!B21/2,C39*(POWER((1+F22),'数据-取费表'!B21/2)-1)),0)</f>
        <v>16</v>
      </c>
      <c r="D43" s="228"/>
      <c r="E43" s="228"/>
      <c r="F43" s="229"/>
      <c r="G43" s="3392"/>
    </row>
    <row r="44" spans="1:7" ht="13.5" customHeight="1">
      <c r="A44" s="731" t="s">
        <v>348</v>
      </c>
      <c r="B44" s="205" t="s">
        <v>1546</v>
      </c>
      <c r="C44" s="228">
        <f ca="1">ROUND(IF('数据-取费表'!B22&lt;=1,C40*F22*'数据-取费表'!B21/2,C40*(POWER((1+F22),'数据-取费表'!B21/2)-1)),4)</f>
        <v>8.0000000000000004E-4</v>
      </c>
      <c r="D44" s="228"/>
      <c r="E44" s="228"/>
      <c r="F44" s="229"/>
      <c r="G44" s="3393"/>
    </row>
    <row r="45" spans="1:7" s="204" customFormat="1" ht="13.5" customHeight="1">
      <c r="A45" s="245" t="s">
        <v>1547</v>
      </c>
      <c r="B45" s="234" t="s">
        <v>1513</v>
      </c>
      <c r="C45" s="235">
        <f ca="1">C46</f>
        <v>1265</v>
      </c>
      <c r="D45" s="225">
        <f ca="1">C47</f>
        <v>1.8E-3</v>
      </c>
      <c r="E45" s="226" t="s">
        <v>1539</v>
      </c>
      <c r="F45" s="236">
        <f ca="1">F27</f>
        <v>0.09</v>
      </c>
      <c r="G45" s="237" t="s">
        <v>1548</v>
      </c>
    </row>
    <row r="46" spans="1:7" s="204" customFormat="1" ht="13.5" customHeight="1">
      <c r="A46" s="731" t="s">
        <v>346</v>
      </c>
      <c r="B46" s="238" t="s">
        <v>1549</v>
      </c>
      <c r="C46" s="239">
        <f ca="1">ROUND((C33+C39)*F27,0)</f>
        <v>1265</v>
      </c>
      <c r="D46" s="253"/>
      <c r="E46" s="226"/>
      <c r="F46" s="236"/>
      <c r="G46" s="237"/>
    </row>
    <row r="47" spans="1:7" s="204" customFormat="1" ht="13.5" customHeight="1">
      <c r="A47" s="731" t="s">
        <v>347</v>
      </c>
      <c r="B47" s="238" t="s">
        <v>1550</v>
      </c>
      <c r="C47" s="228">
        <f ca="1">ROUND(C40*F27,4)</f>
        <v>1.8E-3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17172</v>
      </c>
      <c r="D49" s="222"/>
      <c r="E49" s="222"/>
      <c r="F49" s="254"/>
      <c r="G49" s="224" t="s">
        <v>1554</v>
      </c>
    </row>
    <row r="50" spans="1:7" s="248" customFormat="1" ht="24">
      <c r="A50" s="245" t="s">
        <v>1555</v>
      </c>
      <c r="B50" s="200" t="s">
        <v>1556</v>
      </c>
      <c r="C50" s="222"/>
      <c r="D50" s="222"/>
      <c r="E50" s="222"/>
      <c r="F50" s="254">
        <f>IF('数据-取费表'!B24=0,'数据-取费表'!N16,1)</f>
        <v>0.77</v>
      </c>
      <c r="G50" s="237" t="s">
        <v>1557</v>
      </c>
    </row>
    <row r="51" spans="1:7" ht="16.5" customHeight="1">
      <c r="A51" s="245" t="s">
        <v>1558</v>
      </c>
      <c r="B51" s="200" t="s">
        <v>1559</v>
      </c>
      <c r="C51" s="222">
        <f ca="1">ROUND(C49*F50,0)</f>
        <v>13222</v>
      </c>
      <c r="D51" s="222"/>
      <c r="E51" s="222"/>
      <c r="F51" s="254"/>
      <c r="G51" s="224" t="s">
        <v>1560</v>
      </c>
    </row>
    <row r="52" spans="1:7" s="198" customFormat="1" ht="16.8" thickBot="1">
      <c r="A52" s="255" t="s">
        <v>1561</v>
      </c>
      <c r="B52" s="256"/>
      <c r="C52" s="257">
        <f ca="1">C31+C51</f>
        <v>39230</v>
      </c>
      <c r="D52" s="256"/>
      <c r="E52" s="256"/>
      <c r="F52" s="256"/>
      <c r="G52" s="258"/>
    </row>
    <row r="55" spans="1:7" ht="15">
      <c r="B55" s="260" t="s">
        <v>1562</v>
      </c>
      <c r="C55" s="261"/>
    </row>
    <row r="56" spans="1:7">
      <c r="B56" s="263" t="s">
        <v>802</v>
      </c>
      <c r="C56" s="265">
        <f ca="1">1-C57</f>
        <v>0.66300000000000003</v>
      </c>
    </row>
    <row r="57" spans="1:7">
      <c r="B57" s="263" t="s">
        <v>803</v>
      </c>
      <c r="C57" s="264">
        <f ca="1">ROUND(C51/C52,3)</f>
        <v>0.33700000000000002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c r="C1" s="1714" t="s">
        <v>1563</v>
      </c>
      <c r="D1" s="188"/>
      <c r="E1" s="188"/>
      <c r="F1" s="188"/>
      <c r="G1" s="1059">
        <f>MATCH(B1,'数据-取费表'!A6:A16,0)+5</f>
        <v>8</v>
      </c>
      <c r="H1" s="995" t="str">
        <f>IF(ISERROR(FIND("住宅",B1)),"非住宅","住宅")</f>
        <v>非住宅</v>
      </c>
    </row>
    <row r="2" spans="1:8" s="190" customFormat="1" ht="18" customHeight="1">
      <c r="A2" s="191" t="s">
        <v>1462</v>
      </c>
      <c r="B2" s="3119">
        <f ca="1">ROUND(IF(D2="——",C52/10000,C52/10000-E2),4)</f>
        <v>14366.148999999999</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6545</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4389982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4389982</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160</v>
      </c>
      <c r="F9" s="211"/>
      <c r="G9" s="216"/>
    </row>
    <row r="10" spans="1:8" s="204" customFormat="1" ht="13.5" customHeight="1">
      <c r="A10" s="730" t="s">
        <v>356</v>
      </c>
      <c r="B10" s="214" t="s">
        <v>1480</v>
      </c>
      <c r="C10" s="215">
        <f ca="1">ROUND(D10*E10,0)</f>
        <v>4389982</v>
      </c>
      <c r="D10" s="792">
        <f ca="1">IF(B1="",'数据-汇总表'!E6,IF(INDIRECT("'数据-取费表'!c"&amp;$G$1)="住宅",INDIRECT("'数据-取费表'!s"&amp;$G$1),INDIRECT("'数据-取费表'!k"&amp;$G$1)+INDIRECT("'数据-取费表'!s"&amp;$G$1)))</f>
        <v>21949.910000000098</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4389982</v>
      </c>
      <c r="D19" s="202">
        <f ca="1">D9+D10</f>
        <v>21949.910000000098</v>
      </c>
      <c r="E19" s="201">
        <f>'数据-取费表'!B31</f>
        <v>200</v>
      </c>
      <c r="F19" s="221"/>
      <c r="G19" s="1711"/>
    </row>
    <row r="20" spans="1:7" s="204" customFormat="1" ht="13.5" customHeight="1">
      <c r="A20" s="245" t="s">
        <v>1574</v>
      </c>
      <c r="B20" s="200" t="s">
        <v>1575</v>
      </c>
      <c r="C20" s="222">
        <f ca="1">ROUND((C5+C19)*F20,0)</f>
        <v>263399</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706596</v>
      </c>
      <c r="D22" s="225">
        <f ca="1">C26</f>
        <v>8.0000000000000004E-4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348175</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348175</v>
      </c>
      <c r="D24" s="228"/>
      <c r="E24" s="228"/>
      <c r="F24" s="229"/>
      <c r="G24" s="230" t="s">
        <v>1586</v>
      </c>
    </row>
    <row r="25" spans="1:7" s="204" customFormat="1" ht="24">
      <c r="A25" s="731" t="s">
        <v>1476</v>
      </c>
      <c r="B25" s="205" t="s">
        <v>1587</v>
      </c>
      <c r="C25" s="228">
        <f ca="1">ROUND(IF('数据-取费表'!B22&lt;=1,C20*F22*'数据-取费表'!B22/2,C20*(POWER((1+F22),'数据-取费表'!B22/2)-1)),0)</f>
        <v>10246</v>
      </c>
      <c r="D25" s="228"/>
      <c r="E25" s="231"/>
      <c r="F25" s="229"/>
      <c r="G25" s="232" t="s">
        <v>1588</v>
      </c>
    </row>
    <row r="26" spans="1:7" s="204" customFormat="1">
      <c r="A26" s="731" t="s">
        <v>350</v>
      </c>
      <c r="B26" s="205" t="s">
        <v>1511</v>
      </c>
      <c r="C26" s="228">
        <f ca="1">ROUND(IF('数据-取费表'!B22&lt;=1,F21*F22*'数据-取费表'!B22/2,F21*(POWER((1+F22),'数据-取费表'!B22/2)-1)),4)</f>
        <v>8.0000000000000004E-4</v>
      </c>
      <c r="D26" s="228"/>
      <c r="E26" s="231"/>
      <c r="F26" s="229"/>
      <c r="G26" s="233"/>
    </row>
    <row r="27" spans="1:7" s="204" customFormat="1" ht="26.4">
      <c r="A27" s="245" t="s">
        <v>1512</v>
      </c>
      <c r="B27" s="234" t="s">
        <v>1513</v>
      </c>
      <c r="C27" s="235">
        <f ca="1">C28</f>
        <v>813903</v>
      </c>
      <c r="D27" s="225">
        <f ca="1">C29</f>
        <v>1.8E-3</v>
      </c>
      <c r="E27" s="226" t="s">
        <v>1514</v>
      </c>
      <c r="F27" s="236">
        <f ca="1">IF(B1="",'数据-取费表'!Q16,INDIRECT("'数据-取费表'!q"&amp;$G$1))</f>
        <v>0.09</v>
      </c>
      <c r="G27" s="237" t="s">
        <v>1515</v>
      </c>
    </row>
    <row r="28" spans="1:7" s="204" customFormat="1" ht="13.5" customHeight="1">
      <c r="A28" s="731" t="s">
        <v>346</v>
      </c>
      <c r="B28" s="238" t="s">
        <v>1516</v>
      </c>
      <c r="C28" s="239">
        <f ca="1">ROUND((C5+C19+C20)*F27,0)</f>
        <v>813903</v>
      </c>
      <c r="D28" s="225"/>
      <c r="E28" s="226"/>
      <c r="F28" s="236"/>
      <c r="G28" s="237"/>
    </row>
    <row r="29" spans="1:7" s="204" customFormat="1" ht="13.5" customHeight="1">
      <c r="A29" s="731" t="s">
        <v>347</v>
      </c>
      <c r="B29" s="238" t="s">
        <v>1517</v>
      </c>
      <c r="C29" s="228">
        <f ca="1">ROUND(C21*F27,4)</f>
        <v>1.8E-3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11431514</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136479005</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123447685</v>
      </c>
      <c r="D34" s="207"/>
      <c r="E34" s="210"/>
      <c r="F34" s="247"/>
      <c r="G34" s="209"/>
    </row>
    <row r="35" spans="1:7" ht="13.5" customHeight="1">
      <c r="A35" s="731" t="s">
        <v>351</v>
      </c>
      <c r="B35" s="205" t="s">
        <v>1527</v>
      </c>
      <c r="C35" s="210">
        <f ca="1">ROUND(C34*F35,0)</f>
        <v>6172384</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4389982</v>
      </c>
      <c r="D37" s="207">
        <f ca="1">D19</f>
        <v>21949.910000000098</v>
      </c>
      <c r="E37" s="239">
        <f>'数据-取费表'!B35</f>
        <v>200</v>
      </c>
      <c r="F37" s="249"/>
      <c r="G37" s="251"/>
    </row>
    <row r="38" spans="1:7" ht="13.5" customHeight="1">
      <c r="A38" s="731" t="s">
        <v>354</v>
      </c>
      <c r="B38" s="205" t="s">
        <v>1533</v>
      </c>
      <c r="C38" s="210">
        <f ca="1">ROUND(C34*F38,0)</f>
        <v>2468954</v>
      </c>
      <c r="D38" s="210"/>
      <c r="E38" s="210"/>
      <c r="F38" s="249">
        <f>'数据-取费表'!B36</f>
        <v>0.02</v>
      </c>
      <c r="G38" s="209" t="s">
        <v>1528</v>
      </c>
    </row>
    <row r="39" spans="1:7" s="204" customFormat="1" ht="13.5" customHeight="1">
      <c r="A39" s="245" t="s">
        <v>1534</v>
      </c>
      <c r="B39" s="200" t="s">
        <v>1535</v>
      </c>
      <c r="C39" s="222">
        <f ca="1">ROUND(C33*F20,0)</f>
        <v>4094370</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5468165</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5308898</v>
      </c>
      <c r="D42" s="228"/>
      <c r="E42" s="228"/>
      <c r="F42" s="229"/>
      <c r="G42" s="3391" t="s">
        <v>1591</v>
      </c>
    </row>
    <row r="43" spans="1:7" ht="13.5" customHeight="1">
      <c r="A43" s="731" t="s">
        <v>347</v>
      </c>
      <c r="B43" s="205" t="s">
        <v>1545</v>
      </c>
      <c r="C43" s="228">
        <f ca="1">ROUND(IF('数据-取费表'!B22&lt;=1,C39*F22*'数据-取费表'!B20/2,C39*(POWER((1+F22),'数据-取费表'!B20/2)-1)),0)</f>
        <v>159267</v>
      </c>
      <c r="D43" s="228"/>
      <c r="E43" s="228"/>
      <c r="F43" s="229"/>
      <c r="G43" s="3392"/>
    </row>
    <row r="44" spans="1:7" ht="13.5" customHeight="1">
      <c r="A44" s="731" t="s">
        <v>348</v>
      </c>
      <c r="B44" s="205" t="s">
        <v>1546</v>
      </c>
      <c r="C44" s="228">
        <f ca="1">ROUND(IF('数据-取费表'!B22&lt;=1,C40*F22*'数据-取费表'!B20/2,C40*(POWER((1+F22),'数据-取费表'!B20/2)-1)),4)</f>
        <v>8.0000000000000004E-4</v>
      </c>
      <c r="D44" s="228"/>
      <c r="E44" s="228"/>
      <c r="F44" s="229"/>
      <c r="G44" s="3393"/>
    </row>
    <row r="45" spans="1:7" s="204" customFormat="1" ht="13.5" customHeight="1">
      <c r="A45" s="245" t="s">
        <v>1547</v>
      </c>
      <c r="B45" s="234" t="s">
        <v>1513</v>
      </c>
      <c r="C45" s="235">
        <f ca="1">C46</f>
        <v>12651604</v>
      </c>
      <c r="D45" s="225">
        <f ca="1">C47</f>
        <v>1.8E-3</v>
      </c>
      <c r="E45" s="226" t="s">
        <v>1539</v>
      </c>
      <c r="F45" s="236">
        <f ca="1">F27</f>
        <v>0.09</v>
      </c>
      <c r="G45" s="237" t="s">
        <v>1548</v>
      </c>
    </row>
    <row r="46" spans="1:7" s="204" customFormat="1" ht="13.5" customHeight="1">
      <c r="A46" s="731" t="s">
        <v>346</v>
      </c>
      <c r="B46" s="238" t="s">
        <v>1549</v>
      </c>
      <c r="C46" s="239">
        <f ca="1">ROUND((C33+C39)*F27,0)</f>
        <v>12651604</v>
      </c>
      <c r="D46" s="253"/>
      <c r="E46" s="226"/>
      <c r="F46" s="236"/>
      <c r="G46" s="237"/>
    </row>
    <row r="47" spans="1:7" s="204" customFormat="1" ht="13.5" customHeight="1">
      <c r="A47" s="731" t="s">
        <v>347</v>
      </c>
      <c r="B47" s="238" t="s">
        <v>1550</v>
      </c>
      <c r="C47" s="228">
        <f ca="1">ROUND(C40*F27,4)</f>
        <v>1.8E-3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171727242</v>
      </c>
      <c r="D49" s="222"/>
      <c r="E49" s="222"/>
      <c r="F49" s="254"/>
      <c r="G49" s="224" t="s">
        <v>1554</v>
      </c>
    </row>
    <row r="50" spans="1:7" s="248" customFormat="1">
      <c r="A50" s="245" t="s">
        <v>1555</v>
      </c>
      <c r="B50" s="200" t="s">
        <v>1556</v>
      </c>
      <c r="C50" s="222"/>
      <c r="D50" s="222"/>
      <c r="E50" s="222"/>
      <c r="F50" s="254">
        <f>IF('数据-取费表'!B24=0,'数据-取费表'!N16,1)</f>
        <v>0.77</v>
      </c>
      <c r="G50" s="237"/>
    </row>
    <row r="51" spans="1:7" ht="16.5" customHeight="1">
      <c r="A51" s="245" t="s">
        <v>1558</v>
      </c>
      <c r="B51" s="200" t="s">
        <v>1593</v>
      </c>
      <c r="C51" s="222">
        <f ca="1">ROUND(C49*F50,0)</f>
        <v>132229976</v>
      </c>
      <c r="D51" s="222"/>
      <c r="E51" s="222"/>
      <c r="F51" s="254"/>
      <c r="G51" s="224" t="s">
        <v>1560</v>
      </c>
    </row>
    <row r="52" spans="1:7" s="198" customFormat="1" ht="16.8" thickBot="1">
      <c r="A52" s="255" t="s">
        <v>1561</v>
      </c>
      <c r="B52" s="256"/>
      <c r="C52" s="257">
        <f ca="1">C31+C51</f>
        <v>143661490</v>
      </c>
      <c r="D52" s="256"/>
      <c r="E52" s="256"/>
      <c r="F52" s="256"/>
      <c r="G52" s="258"/>
    </row>
    <row r="55" spans="1:7" ht="15">
      <c r="B55" s="260" t="s">
        <v>1562</v>
      </c>
      <c r="C55" s="261"/>
    </row>
    <row r="56" spans="1:7">
      <c r="B56" s="263" t="s">
        <v>802</v>
      </c>
      <c r="C56" s="265">
        <f ca="1">1-C57</f>
        <v>7.999999999999996E-2</v>
      </c>
    </row>
    <row r="57" spans="1:7">
      <c r="B57" s="263" t="s">
        <v>803</v>
      </c>
      <c r="C57" s="26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5" customWidth="1"/>
    <col min="2" max="2" width="25.77734375" style="732" customWidth="1"/>
    <col min="3" max="3" width="10.33203125" style="771" customWidth="1"/>
    <col min="4" max="4" width="9.88671875" style="732" customWidth="1"/>
    <col min="5" max="5" width="9.44140625" style="685"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7"/>
      <c r="D1" s="1106"/>
      <c r="E1" s="2564"/>
      <c r="F1" s="2564"/>
      <c r="G1" s="2446"/>
      <c r="H1" s="2564"/>
      <c r="I1" s="2564"/>
      <c r="J1" s="2564"/>
      <c r="K1" s="2565">
        <f>MATCH(C1,'数据-取费表'!A6:A16,0)+5</f>
        <v>8</v>
      </c>
    </row>
    <row r="2" spans="1:33" ht="18" customHeight="1">
      <c r="A2" s="191" t="s">
        <v>1462</v>
      </c>
      <c r="B2" s="194">
        <f ca="1">C32</f>
        <v>0</v>
      </c>
      <c r="C2" s="266" t="s">
        <v>1595</v>
      </c>
      <c r="D2" s="266"/>
      <c r="E2" s="2564"/>
      <c r="F2" s="2564"/>
      <c r="G2" s="2564"/>
      <c r="H2" s="2564"/>
      <c r="I2" s="2564"/>
      <c r="J2" s="2564"/>
      <c r="K2" s="2564"/>
    </row>
    <row r="3" spans="1:33" ht="18" customHeight="1" thickBot="1">
      <c r="A3" s="193" t="s">
        <v>1464</v>
      </c>
      <c r="B3" s="194">
        <f ca="1">ROUND(B2*10000/IF(C1="",'数据-汇总表'!E3,INDIRECT("'数据-取费表'!K"&amp;$K$1)),0)</f>
        <v>0</v>
      </c>
      <c r="C3" s="266" t="s">
        <v>1596</v>
      </c>
      <c r="D3" s="266"/>
      <c r="E3" s="2564"/>
      <c r="F3" s="2564"/>
      <c r="G3" s="2564"/>
      <c r="H3" s="2564"/>
      <c r="I3" s="2564"/>
      <c r="J3" s="2564"/>
      <c r="K3" s="2564"/>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21949.910000000098</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21949.910000000098</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439</v>
      </c>
      <c r="D20" s="793">
        <f ca="1">IF(C1="",'数据-汇总表'!E6,IF(INDIRECT("'数据-取费表'!c"&amp;$K$1)="住宅",INDIRECT("'数据-取费表'!s"&amp;$K$1),INDIRECT("'数据-取费表'!k"&amp;$K$1)+INDIRECT("'数据-取费表'!s"&amp;$K$1)))</f>
        <v>21949.910000000098</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0.03</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0.09</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J13" sqref="J13"/>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6"/>
      <c r="G1" s="457"/>
      <c r="H1" s="457"/>
      <c r="I1" s="457"/>
      <c r="J1" s="457"/>
      <c r="K1" s="457"/>
      <c r="L1" s="457"/>
      <c r="M1" s="457"/>
      <c r="N1" s="457"/>
      <c r="O1" s="457"/>
      <c r="P1" s="457"/>
      <c r="Q1" s="457"/>
      <c r="R1" s="457"/>
      <c r="S1" s="457"/>
    </row>
    <row r="2" spans="1:22" ht="15.6">
      <c r="A2" s="1725" t="s">
        <v>1462</v>
      </c>
      <c r="B2" s="808">
        <f ca="1">SUMIF(B6:B13,"&lt;&gt;#ref!",B6:B13)</f>
        <v>19529</v>
      </c>
      <c r="C2" s="1726" t="s">
        <v>1651</v>
      </c>
      <c r="D2" s="1727" t="s">
        <v>1652</v>
      </c>
      <c r="E2" s="2390">
        <f>SUM(E6:E13)</f>
        <v>21949.910000000098</v>
      </c>
      <c r="F2" s="2476"/>
      <c r="G2" s="457"/>
      <c r="H2" s="457"/>
      <c r="I2" s="457"/>
      <c r="J2" s="457"/>
      <c r="K2" s="457"/>
      <c r="L2" s="457"/>
      <c r="M2" s="457"/>
      <c r="N2" s="457"/>
      <c r="O2" s="457"/>
      <c r="P2" s="457"/>
      <c r="Q2" s="457"/>
      <c r="R2" s="457"/>
      <c r="S2" s="457"/>
    </row>
    <row r="3" spans="1:22" ht="15.6">
      <c r="A3" s="1725" t="s">
        <v>686</v>
      </c>
      <c r="B3" s="2384">
        <f ca="1">ROUND(B2*10000/E2,0)</f>
        <v>8897</v>
      </c>
      <c r="C3" s="1726" t="s">
        <v>1659</v>
      </c>
      <c r="D3" s="2476"/>
      <c r="E3" s="2479"/>
      <c r="F3" s="2476"/>
      <c r="G3" s="457"/>
      <c r="H3" s="457"/>
      <c r="I3" s="457"/>
      <c r="J3" s="457"/>
      <c r="K3" s="457"/>
      <c r="L3" s="457"/>
      <c r="M3" s="457"/>
      <c r="N3" s="457"/>
      <c r="O3" s="457"/>
      <c r="P3" s="457"/>
      <c r="Q3" s="457"/>
      <c r="R3" s="457"/>
      <c r="S3" s="457"/>
    </row>
    <row r="4" spans="1:22" ht="15.6">
      <c r="A4" s="2480"/>
      <c r="B4" s="2476"/>
      <c r="C4" s="2476"/>
      <c r="D4" s="2476"/>
      <c r="E4" s="2479"/>
      <c r="F4" s="2476"/>
      <c r="G4" s="457"/>
      <c r="H4" s="457"/>
      <c r="I4" s="457"/>
      <c r="J4" s="457"/>
      <c r="K4" s="457"/>
      <c r="L4" s="457"/>
      <c r="M4" s="457"/>
      <c r="N4" s="457"/>
      <c r="O4" s="457"/>
      <c r="P4" s="457"/>
      <c r="Q4" s="457"/>
      <c r="R4" s="457"/>
      <c r="S4" s="457"/>
    </row>
    <row r="5" spans="1:22" ht="14.4">
      <c r="A5" s="2386" t="s">
        <v>1653</v>
      </c>
      <c r="B5" s="3394" t="s">
        <v>1654</v>
      </c>
      <c r="C5" s="3395"/>
      <c r="D5" s="2477"/>
      <c r="E5" s="1728" t="s">
        <v>1655</v>
      </c>
      <c r="F5" s="127" t="s">
        <v>1656</v>
      </c>
      <c r="G5" s="457"/>
      <c r="H5" s="457"/>
      <c r="I5" s="457"/>
      <c r="J5" s="457"/>
      <c r="K5" s="457"/>
      <c r="L5" s="457"/>
      <c r="M5" s="457"/>
      <c r="N5" s="457"/>
      <c r="O5" s="457"/>
      <c r="P5" s="457"/>
      <c r="Q5" s="457"/>
      <c r="R5" s="457"/>
      <c r="S5" s="457"/>
    </row>
    <row r="6" spans="1:22" ht="14.4">
      <c r="A6" s="2387" t="str">
        <f>'数据-取费表'!AN6</f>
        <v>收益法</v>
      </c>
      <c r="B6" s="2385">
        <f ca="1">IF(F6="是",'数据-取费表'!AO6,0)</f>
        <v>12371</v>
      </c>
      <c r="C6" s="1726" t="s">
        <v>1651</v>
      </c>
      <c r="D6" s="2476"/>
      <c r="E6" s="2389">
        <f>IF(OR(A6=0,F6="否"),0,'数据-取费表'!K6+'数据-取费表'!S6)</f>
        <v>5446.36</v>
      </c>
      <c r="F6" s="1729" t="s">
        <v>1657</v>
      </c>
      <c r="G6" s="457"/>
      <c r="H6" s="457"/>
      <c r="I6" s="457"/>
      <c r="J6" s="457"/>
      <c r="K6" s="457"/>
      <c r="L6" s="457"/>
      <c r="M6" s="457"/>
      <c r="N6" s="457"/>
      <c r="O6" s="457"/>
      <c r="P6" s="457"/>
      <c r="Q6" s="457"/>
      <c r="R6" s="457"/>
      <c r="S6" s="457"/>
    </row>
    <row r="7" spans="1:22" ht="14.4">
      <c r="A7" s="2387" t="str">
        <f>'数据-取费表'!AN7</f>
        <v>收益法车</v>
      </c>
      <c r="B7" s="2385">
        <f ca="1">IF(F7="是",'数据-取费表'!AO7,0)</f>
        <v>7158</v>
      </c>
      <c r="C7" s="1726" t="s">
        <v>1651</v>
      </c>
      <c r="D7" s="2476"/>
      <c r="E7" s="2389">
        <f>IF(OR(A7=0,F7="否"),0,'数据-取费表'!K7+'数据-取费表'!S7)</f>
        <v>16503.550000000097</v>
      </c>
      <c r="F7" s="1729" t="s">
        <v>1657</v>
      </c>
      <c r="G7" s="457"/>
      <c r="H7" s="457"/>
      <c r="I7" s="457"/>
      <c r="J7" s="457"/>
      <c r="K7" s="457"/>
      <c r="L7" s="457"/>
      <c r="M7" s="457"/>
      <c r="N7" s="457"/>
      <c r="O7" s="457"/>
      <c r="P7" s="457"/>
      <c r="Q7" s="457"/>
      <c r="R7" s="457"/>
      <c r="S7" s="457"/>
    </row>
    <row r="8" spans="1:22" ht="14.4">
      <c r="A8" s="2387">
        <f>'数据-取费表'!AN8</f>
        <v>0</v>
      </c>
      <c r="B8" s="2385">
        <f>IF(F8="是",'数据-取费表'!AO8,0)</f>
        <v>0</v>
      </c>
      <c r="C8" s="1726" t="s">
        <v>1651</v>
      </c>
      <c r="D8" s="2476"/>
      <c r="E8" s="2389">
        <f>IF(OR(A8=0,F8="否"),0,'数据-取费表'!K8+'数据-取费表'!S8)</f>
        <v>0</v>
      </c>
      <c r="F8" s="1729" t="s">
        <v>3455</v>
      </c>
      <c r="G8" s="457"/>
      <c r="H8" s="457"/>
      <c r="I8" s="457"/>
      <c r="J8" s="457"/>
      <c r="K8" s="457"/>
      <c r="L8" s="457"/>
      <c r="M8" s="457"/>
      <c r="N8" s="457"/>
      <c r="O8" s="457"/>
      <c r="P8" s="457"/>
      <c r="Q8" s="457"/>
      <c r="R8" s="457"/>
      <c r="S8" s="457"/>
    </row>
    <row r="9" spans="1:22" ht="14.4">
      <c r="A9" s="2387">
        <f>'数据-取费表'!AN9</f>
        <v>0</v>
      </c>
      <c r="B9" s="2385">
        <f>IF(F9="是",'数据-取费表'!AO9,0)</f>
        <v>0</v>
      </c>
      <c r="C9" s="1726" t="s">
        <v>1651</v>
      </c>
      <c r="D9" s="2476"/>
      <c r="E9" s="2389">
        <f>IF(OR(A9=0,F9="否"),0,'数据-取费表'!K9+'数据-取费表'!S9)</f>
        <v>0</v>
      </c>
      <c r="F9" s="1729" t="s">
        <v>3455</v>
      </c>
      <c r="G9" s="457"/>
      <c r="H9" s="457"/>
      <c r="I9" s="457"/>
      <c r="J9" s="457"/>
      <c r="K9" s="457"/>
      <c r="L9" s="457"/>
      <c r="M9" s="457"/>
      <c r="N9" s="457"/>
      <c r="O9" s="457"/>
      <c r="P9" s="457"/>
      <c r="Q9" s="457"/>
      <c r="R9" s="457"/>
      <c r="S9" s="457"/>
    </row>
    <row r="10" spans="1:22" ht="14.4">
      <c r="A10" s="2387">
        <f>'数据-取费表'!AN10</f>
        <v>0</v>
      </c>
      <c r="B10" s="2385">
        <f>IF(F10="是",'数据-取费表'!AO10,0)</f>
        <v>0</v>
      </c>
      <c r="C10" s="1726" t="s">
        <v>1651</v>
      </c>
      <c r="D10" s="2476"/>
      <c r="E10" s="2389">
        <f>IF(OR(A10=0,F10="否"),0,'数据-取费表'!K10+'数据-取费表'!S10)</f>
        <v>0</v>
      </c>
      <c r="F10" s="1729" t="s">
        <v>3455</v>
      </c>
      <c r="G10" s="457"/>
      <c r="H10" s="457"/>
      <c r="I10" s="457"/>
      <c r="J10" s="457"/>
      <c r="K10" s="457"/>
      <c r="L10" s="457"/>
      <c r="M10" s="457"/>
      <c r="N10" s="457"/>
      <c r="O10" s="457"/>
      <c r="P10" s="457"/>
      <c r="Q10" s="457"/>
      <c r="R10" s="457"/>
      <c r="S10" s="457"/>
    </row>
    <row r="11" spans="1:22" ht="14.4">
      <c r="A11" s="2387">
        <f>'数据-取费表'!AN11</f>
        <v>0</v>
      </c>
      <c r="B11" s="2385">
        <f>IF(F11="是",'数据-取费表'!AO11,0)</f>
        <v>0</v>
      </c>
      <c r="C11" s="1726" t="s">
        <v>1651</v>
      </c>
      <c r="D11" s="2476"/>
      <c r="E11" s="2389">
        <f>IF(OR(A11=0,F11="否"),0,'数据-取费表'!K11+'数据-取费表'!S11)</f>
        <v>0</v>
      </c>
      <c r="F11" s="1729" t="s">
        <v>3455</v>
      </c>
      <c r="G11" s="457"/>
      <c r="H11" s="457"/>
      <c r="I11" s="457"/>
      <c r="J11" s="457"/>
      <c r="K11" s="457"/>
      <c r="L11" s="457"/>
      <c r="M11" s="457"/>
      <c r="N11" s="457"/>
      <c r="O11" s="457"/>
      <c r="P11" s="457"/>
      <c r="Q11" s="457"/>
      <c r="R11" s="457"/>
      <c r="S11" s="457"/>
    </row>
    <row r="12" spans="1:22" ht="14.4">
      <c r="A12" s="2387">
        <f>'数据-取费表'!AN12</f>
        <v>0</v>
      </c>
      <c r="B12" s="2385">
        <f>IF(F12="是",'数据-取费表'!AO12,0)</f>
        <v>0</v>
      </c>
      <c r="C12" s="1726" t="s">
        <v>1651</v>
      </c>
      <c r="D12" s="2476"/>
      <c r="E12" s="2389">
        <f>IF(OR(A12=0,F12="否"),0,'数据-取费表'!K12+'数据-取费表'!S12)</f>
        <v>0</v>
      </c>
      <c r="F12" s="1729" t="s">
        <v>3455</v>
      </c>
      <c r="G12" s="457"/>
      <c r="H12" s="457"/>
      <c r="I12" s="457"/>
      <c r="J12" s="457"/>
      <c r="K12" s="457"/>
      <c r="L12" s="457"/>
      <c r="M12" s="457"/>
      <c r="N12" s="457"/>
      <c r="O12" s="457"/>
      <c r="P12" s="457"/>
      <c r="Q12" s="457"/>
      <c r="R12" s="457"/>
      <c r="S12" s="457"/>
    </row>
    <row r="13" spans="1:22" ht="15" thickBot="1">
      <c r="A13" s="2388">
        <f>'数据-取费表'!AN13</f>
        <v>0</v>
      </c>
      <c r="B13" s="2385">
        <f>IF(F13="是",'数据-取费表'!AO13,0)</f>
        <v>0</v>
      </c>
      <c r="C13" s="1730" t="s">
        <v>1651</v>
      </c>
      <c r="D13" s="2478"/>
      <c r="E13" s="2389">
        <f>IF(OR(A13=0,F13="否"),0,'数据-取费表'!K13+'数据-取费表'!S13)</f>
        <v>0</v>
      </c>
      <c r="F13" s="1729" t="s">
        <v>3455</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K53" sqref="K53:L53"/>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673</v>
      </c>
      <c r="D1" s="1268" t="s">
        <v>43</v>
      </c>
      <c r="E1" s="1269" t="s">
        <v>678</v>
      </c>
      <c r="F1" s="996">
        <f ca="1">J53</f>
        <v>16.559999999999999</v>
      </c>
      <c r="G1" s="1283">
        <f>MATCH(C1,'数据-取费表'!A6:A16,0)+5</f>
        <v>6</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12371</v>
      </c>
      <c r="C2" s="1286" t="s">
        <v>805</v>
      </c>
      <c r="D2" s="1286"/>
      <c r="E2" s="1292"/>
      <c r="F2" s="1293"/>
      <c r="G2" s="2475"/>
      <c r="H2" s="2465"/>
      <c r="I2" s="2465"/>
      <c r="J2" s="2465"/>
      <c r="K2" s="2466"/>
      <c r="L2" s="2465"/>
      <c r="M2" s="2465"/>
    </row>
    <row r="3" spans="1:37" ht="18" customHeight="1" thickBot="1">
      <c r="A3" s="1294" t="s">
        <v>806</v>
      </c>
      <c r="B3" s="1295">
        <f ca="1">IF(ISERROR(B2*10000/F43),0,ROUND(B2*10000/F43,0))</f>
        <v>22714</v>
      </c>
      <c r="C3" s="1286" t="s">
        <v>807</v>
      </c>
      <c r="D3" s="1286"/>
      <c r="E3" s="1292"/>
      <c r="F3" s="1293"/>
      <c r="G3" s="2475"/>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1184</v>
      </c>
      <c r="D5" s="1270" t="s">
        <v>693</v>
      </c>
      <c r="E5" s="1005"/>
      <c r="F5" s="1006"/>
      <c r="G5" s="1289"/>
      <c r="H5" s="289">
        <v>1</v>
      </c>
      <c r="I5" s="290" t="s">
        <v>692</v>
      </c>
      <c r="J5" s="1004">
        <f ca="1">J6+J10+J12</f>
        <v>0</v>
      </c>
      <c r="K5" s="1270" t="s">
        <v>693</v>
      </c>
      <c r="L5" s="1005"/>
      <c r="M5" s="1006"/>
    </row>
    <row r="6" spans="1:37" ht="18" customHeight="1">
      <c r="A6" s="1003" t="s">
        <v>398</v>
      </c>
      <c r="B6" s="3398" t="s">
        <v>694</v>
      </c>
      <c r="C6" s="1008">
        <f ca="1">ROUND(F6*F8*F7*(1-F9)/10000,0)</f>
        <v>1183</v>
      </c>
      <c r="D6" s="145" t="s">
        <v>2109</v>
      </c>
      <c r="E6" s="292" t="s">
        <v>696</v>
      </c>
      <c r="F6" s="293">
        <f ca="1">INDIRECT("'数据-取费表'!u"&amp;$G$1)</f>
        <v>7</v>
      </c>
      <c r="G6" s="1289"/>
      <c r="H6" s="1003" t="s">
        <v>398</v>
      </c>
      <c r="I6" s="3398" t="s">
        <v>694</v>
      </c>
      <c r="J6" s="291">
        <f ca="1">ROUND(M6*M8*M7*(1-M9)/10000,0)</f>
        <v>0</v>
      </c>
      <c r="K6" s="145" t="s">
        <v>2108</v>
      </c>
      <c r="L6" s="292" t="s">
        <v>696</v>
      </c>
      <c r="M6" s="293">
        <f ca="1">INDIRECT("'数据-取费表'!z"&amp;$G$1)</f>
        <v>0</v>
      </c>
    </row>
    <row r="7" spans="1:37" ht="18" customHeight="1">
      <c r="A7" s="1007"/>
      <c r="B7" s="3399"/>
      <c r="C7" s="1009"/>
      <c r="D7" s="297"/>
      <c r="E7" s="1010" t="s">
        <v>697</v>
      </c>
      <c r="F7" s="293">
        <f ca="1">IF(INDIRECT("'数据-取费表'!ah"&amp;$G$1)="",INDIRECT("'数据-取费表'!k"&amp;$G$1),INDIRECT("'数据-取费表'!ah"&amp;$G$1))</f>
        <v>5446.36</v>
      </c>
      <c r="G7" s="1289"/>
      <c r="H7" s="294"/>
      <c r="I7" s="3399"/>
      <c r="J7" s="296"/>
      <c r="K7" s="297"/>
      <c r="L7" s="292" t="s">
        <v>697</v>
      </c>
      <c r="M7" s="293">
        <f ca="1">F7</f>
        <v>5446.36</v>
      </c>
    </row>
    <row r="8" spans="1:37" ht="18" customHeight="1">
      <c r="A8" s="294"/>
      <c r="B8" s="3399"/>
      <c r="C8" s="296"/>
      <c r="D8" s="297"/>
      <c r="E8" s="292" t="s">
        <v>698</v>
      </c>
      <c r="F8" s="293">
        <f ca="1">INDIRECT("'数据-取费表'!ai"&amp;$G$1)</f>
        <v>365</v>
      </c>
      <c r="G8" s="1289"/>
      <c r="H8" s="294"/>
      <c r="I8" s="3399"/>
      <c r="J8" s="296"/>
      <c r="K8" s="297"/>
      <c r="L8" s="292" t="s">
        <v>698</v>
      </c>
      <c r="M8" s="293">
        <f ca="1">INDIRECT("'数据-取费表'!ai"&amp;$G$1)</f>
        <v>365</v>
      </c>
    </row>
    <row r="9" spans="1:37" ht="18" customHeight="1">
      <c r="A9" s="294"/>
      <c r="B9" s="3400"/>
      <c r="C9" s="296"/>
      <c r="D9" s="297"/>
      <c r="E9" s="292" t="s">
        <v>699</v>
      </c>
      <c r="F9" s="302">
        <f ca="1">INDIRECT("'数据-取费表'!w"&amp;$G$1)</f>
        <v>0.15</v>
      </c>
      <c r="G9" s="1289"/>
      <c r="H9" s="294"/>
      <c r="I9" s="3400"/>
      <c r="J9" s="296"/>
      <c r="K9" s="297"/>
      <c r="L9" s="303" t="s">
        <v>699</v>
      </c>
      <c r="M9" s="304">
        <f ca="1">INDIRECT("'数据-取费表'!ab"&amp;$G$1)</f>
        <v>0</v>
      </c>
    </row>
    <row r="10" spans="1:37" ht="18" customHeight="1">
      <c r="A10" s="1003" t="s">
        <v>402</v>
      </c>
      <c r="B10" s="1271" t="s">
        <v>700</v>
      </c>
      <c r="C10" s="306">
        <f ca="1">ROUND(IF(F10="押一",C6/12*F11,IF(F10="押二",C6/12*2*F11,IF(F10="押三",C6/12*3*F11,C11*F11))),0)</f>
        <v>1</v>
      </c>
      <c r="D10" s="148" t="s">
        <v>2117</v>
      </c>
      <c r="E10" s="303" t="s">
        <v>701</v>
      </c>
      <c r="F10" s="1050" t="s">
        <v>3453</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3842</v>
      </c>
      <c r="D13" s="1015" t="s">
        <v>705</v>
      </c>
      <c r="E13" s="1015" t="s">
        <v>706</v>
      </c>
      <c r="F13" s="1016">
        <f ca="1">INDIRECT("'数据-取费表'!y"&amp;$G$1)</f>
        <v>0.77</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3268</v>
      </c>
      <c r="D14" s="1254" t="s">
        <v>708</v>
      </c>
      <c r="E14" s="1252"/>
      <c r="F14" s="309"/>
      <c r="G14" s="1289"/>
      <c r="H14" s="925" t="s">
        <v>398</v>
      </c>
      <c r="I14" s="292" t="s">
        <v>709</v>
      </c>
      <c r="J14" s="21">
        <f ca="1">C29</f>
        <v>4990</v>
      </c>
      <c r="K14" s="12"/>
      <c r="L14" s="756"/>
      <c r="M14" s="757"/>
    </row>
    <row r="15" spans="1:37" s="1301" customFormat="1" ht="18" customHeight="1" thickBot="1">
      <c r="A15" s="925" t="s">
        <v>399</v>
      </c>
      <c r="B15" s="292" t="s">
        <v>710</v>
      </c>
      <c r="C15" s="21">
        <f ca="1">ROUND(C14*F15,0)</f>
        <v>163</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25</v>
      </c>
      <c r="K16" s="1021" t="s">
        <v>715</v>
      </c>
      <c r="L16" s="1022"/>
      <c r="M16" s="1006"/>
    </row>
    <row r="17" spans="1:37" s="1301" customFormat="1" ht="18" customHeight="1">
      <c r="A17" s="925" t="s">
        <v>681</v>
      </c>
      <c r="B17" s="292" t="s">
        <v>716</v>
      </c>
      <c r="C17" s="21">
        <f ca="1">ROUND(F17*(F43+INDIRECT("'数据-取费表'!S"&amp;$G$1))/10000,0)</f>
        <v>109</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65</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3605</v>
      </c>
      <c r="D19" s="121" t="s">
        <v>726</v>
      </c>
      <c r="E19" s="1266"/>
      <c r="F19" s="23"/>
      <c r="G19" s="1289"/>
      <c r="H19" s="925" t="s">
        <v>399</v>
      </c>
      <c r="I19" s="292" t="s">
        <v>727</v>
      </c>
      <c r="J19" s="21">
        <f ca="1">IF(K19="按租金收入计税",ROUND(J6*M19/(1+'数据-取费表'!C42),2),ROUND(C29*M19*0.7,2))</f>
        <v>0</v>
      </c>
      <c r="K19" s="1275" t="s">
        <v>3331</v>
      </c>
      <c r="L19" s="292" t="s">
        <v>712</v>
      </c>
      <c r="M19" s="312">
        <f>IF(K19="按租金收入计税",'数据-取费表'!B51,'数据-取费表'!B50)</f>
        <v>0.12</v>
      </c>
    </row>
    <row r="20" spans="1:37" s="1301" customFormat="1" ht="18" customHeight="1">
      <c r="A20" s="925" t="s">
        <v>402</v>
      </c>
      <c r="B20" s="292" t="s">
        <v>728</v>
      </c>
      <c r="C20" s="21">
        <f ca="1">ROUND(C19*F20,0)</f>
        <v>108</v>
      </c>
      <c r="D20" s="313" t="s">
        <v>729</v>
      </c>
      <c r="E20" s="292" t="s">
        <v>712</v>
      </c>
      <c r="F20" s="312">
        <f>'数据-取费表'!B37</f>
        <v>0.03</v>
      </c>
      <c r="G20" s="1300"/>
      <c r="H20" s="925" t="s">
        <v>680</v>
      </c>
      <c r="I20" s="145" t="s">
        <v>730</v>
      </c>
      <c r="J20" s="22">
        <f ca="1">ROUND(M20*M21/10000,2)</f>
        <v>0</v>
      </c>
      <c r="K20" s="314" t="s">
        <v>731</v>
      </c>
      <c r="L20" s="292" t="s">
        <v>732</v>
      </c>
      <c r="M20" s="31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24.95</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144</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-25</v>
      </c>
      <c r="K25" s="1029" t="s">
        <v>753</v>
      </c>
      <c r="L25" s="1030"/>
      <c r="M25" s="1031"/>
    </row>
    <row r="26" spans="1:37">
      <c r="A26" s="925" t="s">
        <v>397</v>
      </c>
      <c r="B26" s="292" t="s">
        <v>754</v>
      </c>
      <c r="C26" s="21">
        <f ca="1">ROUND((C19+C20)*F26,0)</f>
        <v>743</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4.0000000000000001E-3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4990</v>
      </c>
      <c r="D29" s="1026"/>
      <c r="E29" s="1024"/>
      <c r="F29" s="1027"/>
      <c r="G29" s="1300"/>
      <c r="H29" s="323" t="s">
        <v>396</v>
      </c>
      <c r="I29" s="324" t="s">
        <v>768</v>
      </c>
      <c r="J29" s="325">
        <f ca="1">ROUND(J26/(1+F40)^F41,0)</f>
        <v>0</v>
      </c>
      <c r="K29" s="326" t="s">
        <v>769</v>
      </c>
      <c r="L29" s="327"/>
      <c r="M29" s="328">
        <f ca="1">INDIRECT("'数据-取费表'!k"&amp;$G$1)</f>
        <v>5446.36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233</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198.29</v>
      </c>
      <c r="D31" s="1254" t="s">
        <v>720</v>
      </c>
      <c r="E31" s="1253" t="s">
        <v>770</v>
      </c>
      <c r="F31" s="2136" t="str">
        <f>IF(项目基本情况!B11="企业","——",IF(M47="住宅",IF(F6*F7*F8/12/(1+'数据-取费表'!F30)&gt;100000,4%,2.5%),IF(F6*F7*F8/12/(1+'数据-取费表'!F30)&gt;100000,12%,7%)))</f>
        <v>——</v>
      </c>
      <c r="G31" s="1289"/>
      <c r="H31" s="2566" t="s">
        <v>2302</v>
      </c>
      <c r="I31" s="1302"/>
      <c r="J31" s="1303"/>
      <c r="K31" s="119"/>
      <c r="L31" s="2468"/>
      <c r="M31" s="2469"/>
    </row>
    <row r="32" spans="1:37" ht="18" customHeight="1">
      <c r="A32" s="925" t="s">
        <v>397</v>
      </c>
      <c r="B32" s="292" t="s">
        <v>723</v>
      </c>
      <c r="C32" s="21">
        <f ca="1">IF(项目基本情况!B11="自然人","——",ROUND(C6*F32/(1+'数据-取费表'!C42),2))</f>
        <v>63.09</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135.19999999999999</v>
      </c>
      <c r="D33" s="1275" t="s">
        <v>3331</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0</v>
      </c>
      <c r="D34" s="314" t="s">
        <v>731</v>
      </c>
      <c r="E34" s="292" t="s">
        <v>732</v>
      </c>
      <c r="F34" s="315">
        <f>'数据-取费表'!B52</f>
        <v>30</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ROUND(C29*F36,2)</f>
        <v>24.95</v>
      </c>
      <c r="D36" s="1253" t="s">
        <v>771</v>
      </c>
      <c r="E36" s="292" t="s">
        <v>712</v>
      </c>
      <c r="F36" s="318">
        <f ca="1">INDIRECT("'数据-取费表'!Ak"&amp;$G$1)</f>
        <v>5.0000000000000001E-3</v>
      </c>
      <c r="G36" s="1289"/>
      <c r="H36" s="2470"/>
      <c r="I36" s="1302"/>
      <c r="J36" s="1303"/>
      <c r="K36" s="2328"/>
      <c r="L36" s="2470"/>
      <c r="M36" s="2470"/>
    </row>
    <row r="37" spans="1:18" ht="18" customHeight="1">
      <c r="A37" s="925" t="s">
        <v>437</v>
      </c>
      <c r="B37" s="292" t="s">
        <v>742</v>
      </c>
      <c r="C37" s="21">
        <f ca="1">ROUND(C13*F37,2)</f>
        <v>3.84</v>
      </c>
      <c r="D37" s="1253" t="s">
        <v>743</v>
      </c>
      <c r="E37" s="292" t="s">
        <v>744</v>
      </c>
      <c r="F37" s="319">
        <f ca="1">INDIRECT("'数据-取费表'!Al"&amp;$G$1)</f>
        <v>1E-3</v>
      </c>
      <c r="G37" s="1289"/>
      <c r="H37" s="2470"/>
      <c r="I37" s="1302"/>
      <c r="J37" s="1303"/>
      <c r="K37" s="2328"/>
      <c r="L37" s="2470"/>
      <c r="M37" s="2470"/>
    </row>
    <row r="38" spans="1:18" ht="18" customHeight="1" thickBot="1">
      <c r="A38" s="1023" t="s">
        <v>684</v>
      </c>
      <c r="B38" s="1024" t="s">
        <v>728</v>
      </c>
      <c r="C38" s="1025">
        <f ca="1">ROUND(C5*F38,2)</f>
        <v>5.92</v>
      </c>
      <c r="D38" s="1026" t="s">
        <v>748</v>
      </c>
      <c r="E38" s="1024" t="s">
        <v>744</v>
      </c>
      <c r="F38" s="1020">
        <f ca="1">INDIRECT("'数据-取费表'!Am"&amp;$G$1)</f>
        <v>5.0000000000000001E-3</v>
      </c>
      <c r="G38" s="1289"/>
      <c r="H38" s="2470"/>
      <c r="I38" s="1302"/>
      <c r="J38" s="1303"/>
      <c r="K38" s="2468"/>
      <c r="L38" s="2470"/>
      <c r="M38" s="2470"/>
    </row>
    <row r="39" spans="1:18" ht="24.6" customHeight="1" thickTop="1">
      <c r="A39" s="1013" t="s">
        <v>394</v>
      </c>
      <c r="B39" s="1028" t="s">
        <v>772</v>
      </c>
      <c r="C39" s="300">
        <f ca="1">C5-C30</f>
        <v>951</v>
      </c>
      <c r="D39" s="1029" t="s">
        <v>773</v>
      </c>
      <c r="E39" s="1030"/>
      <c r="F39" s="1031"/>
      <c r="G39" s="1289"/>
      <c r="H39" s="2470"/>
      <c r="I39" s="1302"/>
      <c r="J39" s="1303"/>
      <c r="K39" s="2468"/>
      <c r="L39" s="2470"/>
      <c r="M39" s="2470"/>
    </row>
    <row r="40" spans="1:18" ht="18" customHeight="1">
      <c r="A40" s="289" t="s">
        <v>395</v>
      </c>
      <c r="B40" s="290" t="s">
        <v>774</v>
      </c>
      <c r="C40" s="291">
        <f ca="1">ROUND(C39*(1-((1+F42)/(1+F40))^F41)/(F40-F42),0)</f>
        <v>11631</v>
      </c>
      <c r="D40" s="314" t="s">
        <v>758</v>
      </c>
      <c r="E40" s="292" t="s">
        <v>759</v>
      </c>
      <c r="F40" s="302">
        <f ca="1">INDIRECT("'数据-取费表'!I"&amp;$G$1)</f>
        <v>5.5E-2</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16.559999999999999</v>
      </c>
      <c r="G41" s="1289"/>
      <c r="H41" s="119"/>
      <c r="I41" s="1302"/>
      <c r="J41" s="1303"/>
      <c r="K41" s="2328"/>
      <c r="L41" s="119"/>
      <c r="M41" s="119"/>
    </row>
    <row r="42" spans="1:18" ht="18" customHeight="1">
      <c r="A42" s="298"/>
      <c r="B42" s="299"/>
      <c r="C42" s="300"/>
      <c r="D42" s="317"/>
      <c r="E42" s="292" t="s">
        <v>766</v>
      </c>
      <c r="F42" s="302">
        <f ca="1">INDIRECT("'数据-取费表'!v"&amp;$G$1)</f>
        <v>0.02</v>
      </c>
      <c r="G42" s="1289"/>
      <c r="H42" s="119"/>
      <c r="I42" s="1302"/>
      <c r="J42" s="1303"/>
      <c r="K42" s="2328"/>
      <c r="L42" s="119"/>
      <c r="M42" s="119"/>
    </row>
    <row r="43" spans="1:18" ht="18" customHeight="1" thickBot="1">
      <c r="A43" s="323" t="s">
        <v>396</v>
      </c>
      <c r="B43" s="324" t="s">
        <v>776</v>
      </c>
      <c r="C43" s="325">
        <f ca="1">ROUND(C40*10000/F43,0)</f>
        <v>21356</v>
      </c>
      <c r="D43" s="326" t="s">
        <v>777</v>
      </c>
      <c r="E43" s="327" t="s">
        <v>778</v>
      </c>
      <c r="F43" s="328">
        <f ca="1">INDIRECT("'数据-取费表'!k"&amp;$G$1)</f>
        <v>5446.36</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4" t="s">
        <v>808</v>
      </c>
      <c r="P45" s="1363"/>
      <c r="Q45" s="1363"/>
      <c r="R45" s="1363"/>
    </row>
    <row r="46" spans="1:18" s="1289" customFormat="1" ht="13.8" thickBot="1">
      <c r="A46" s="1308" t="s">
        <v>809</v>
      </c>
      <c r="C46" s="1309">
        <f ca="1">C68-C40</f>
        <v>-11941</v>
      </c>
      <c r="D46" s="1310" t="str">
        <f>C2</f>
        <v>万元</v>
      </c>
      <c r="E46" s="1304"/>
      <c r="F46" s="1304"/>
      <c r="I46" s="1311" t="s">
        <v>810</v>
      </c>
      <c r="J46" s="1312"/>
      <c r="K46" s="1313"/>
      <c r="L46" s="1314">
        <f ca="1">IF(M47="住宅",0,IF(L48&gt;J51,L60,J60))</f>
        <v>740</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3434</v>
      </c>
      <c r="K47" s="1320" t="s">
        <v>816</v>
      </c>
      <c r="L47" s="1321">
        <f ca="1">INDIRECT("'数据-取费表'!d"&amp;$G$1)</f>
        <v>40</v>
      </c>
      <c r="M47" s="1285" t="str">
        <f>IF(ISNUMBER(FIND("住宅",C1)),"住宅","非住宅")</f>
        <v>非住宅</v>
      </c>
      <c r="O47" s="1322" t="s">
        <v>403</v>
      </c>
      <c r="P47" s="1323" t="s">
        <v>817</v>
      </c>
      <c r="Q47" s="1324">
        <f ca="1">C40+J29</f>
        <v>11631</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3454</v>
      </c>
      <c r="K48" s="1327" t="s">
        <v>820</v>
      </c>
      <c r="L48" s="1328">
        <f ca="1">INDIRECT("'数据-取费表'!f"&amp;$G$1)</f>
        <v>16.559999999999999</v>
      </c>
      <c r="O48" s="1322" t="s">
        <v>404</v>
      </c>
      <c r="P48" s="1323" t="s">
        <v>821</v>
      </c>
      <c r="Q48" s="1324">
        <f ca="1">J60</f>
        <v>740</v>
      </c>
      <c r="R48" s="1324" t="s">
        <v>822</v>
      </c>
    </row>
    <row r="49" spans="1:18" s="1289" customFormat="1" ht="13.8" thickBot="1">
      <c r="A49" s="918" t="s">
        <v>439</v>
      </c>
      <c r="B49" s="1276" t="s">
        <v>779</v>
      </c>
      <c r="C49" s="1048">
        <f ca="1">ROUND(F49*F51*F50*(1-F52)/10000,0)</f>
        <v>0</v>
      </c>
      <c r="D49" s="989" t="s">
        <v>2110</v>
      </c>
      <c r="E49" s="1277" t="s">
        <v>780</v>
      </c>
      <c r="F49" s="994"/>
      <c r="H49" s="680"/>
      <c r="I49" s="1325" t="s">
        <v>823</v>
      </c>
      <c r="J49" s="1329">
        <f>面积清单!C37</f>
        <v>2011</v>
      </c>
      <c r="K49" s="1327" t="s">
        <v>824</v>
      </c>
      <c r="L49" s="1330"/>
      <c r="O49" s="1331" t="s">
        <v>405</v>
      </c>
      <c r="P49" s="1323" t="s">
        <v>825</v>
      </c>
      <c r="Q49" s="1324">
        <f ca="1">C29</f>
        <v>4990</v>
      </c>
      <c r="R49" s="1324" t="s">
        <v>818</v>
      </c>
    </row>
    <row r="50" spans="1:18" s="1289" customFormat="1" ht="13.8" thickBot="1">
      <c r="A50" s="919"/>
      <c r="B50" s="922"/>
      <c r="C50" s="1052"/>
      <c r="D50" s="896"/>
      <c r="E50" s="990" t="s">
        <v>697</v>
      </c>
      <c r="F50" s="991">
        <f ca="1">F7</f>
        <v>5446.36</v>
      </c>
      <c r="H50" s="680"/>
      <c r="I50" s="1325" t="s">
        <v>826</v>
      </c>
      <c r="J50" s="1332">
        <f>SUMPRODUCT((I63:I65=J47)*(J62:L62=J48)*(J63:L65))</f>
        <v>60</v>
      </c>
      <c r="K50" s="1327" t="s">
        <v>827</v>
      </c>
      <c r="L50" s="1330"/>
      <c r="M50" s="1333"/>
      <c r="O50" s="1331" t="s">
        <v>406</v>
      </c>
      <c r="P50" s="1323" t="s">
        <v>828</v>
      </c>
      <c r="Q50" s="1334">
        <f ca="1">J58</f>
        <v>0.49099999999999999</v>
      </c>
      <c r="R50" s="1324"/>
    </row>
    <row r="51" spans="1:18" s="1289" customFormat="1" ht="13.8" thickBot="1">
      <c r="A51" s="920"/>
      <c r="B51" s="922"/>
      <c r="C51" s="923"/>
      <c r="D51" s="896"/>
      <c r="E51" s="924" t="s">
        <v>698</v>
      </c>
      <c r="F51" s="293">
        <f ca="1">F8</f>
        <v>365</v>
      </c>
      <c r="I51" s="1335" t="s">
        <v>829</v>
      </c>
      <c r="J51" s="1328">
        <f>IF(J49="",J50,J49+J50-YEAR('数据-取费表'!B2))</f>
        <v>46</v>
      </c>
      <c r="K51" s="1336" t="s">
        <v>830</v>
      </c>
      <c r="L51" s="1337">
        <f ca="1">ROUND(-PV(INDIRECT("'数据-取费表'!h"&amp;$G$1),J51,(C39-C13*C76),0),0)</f>
        <v>12195</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16.559999999999999</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16.559999999999999</v>
      </c>
      <c r="K53" s="3396" t="s">
        <v>837</v>
      </c>
      <c r="L53" s="3397"/>
      <c r="O53" s="1322" t="s">
        <v>409</v>
      </c>
      <c r="P53" s="1323" t="s">
        <v>838</v>
      </c>
      <c r="Q53" s="1324">
        <f ca="1">Q47+Q48</f>
        <v>12371</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0.49099999999999999</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3842</v>
      </c>
      <c r="D56" s="1349"/>
      <c r="E56" s="1350"/>
      <c r="F56" s="1342"/>
      <c r="I56" s="1351" t="s">
        <v>842</v>
      </c>
      <c r="J56" s="1352" t="s">
        <v>3455</v>
      </c>
      <c r="K56" s="1325" t="s">
        <v>843</v>
      </c>
      <c r="L56" s="1328" t="str">
        <f ca="1">IF(L48&lt;J51,"——",L48-J53)</f>
        <v>——</v>
      </c>
      <c r="O56" s="1322" t="s">
        <v>403</v>
      </c>
      <c r="P56" s="1323" t="s">
        <v>817</v>
      </c>
      <c r="Q56" s="1324">
        <f ca="1">C40+J29</f>
        <v>11631</v>
      </c>
      <c r="R56" s="1324" t="s">
        <v>818</v>
      </c>
    </row>
    <row r="57" spans="1:18" s="1289" customFormat="1" ht="24.6" thickBot="1">
      <c r="A57" s="1353"/>
      <c r="B57" s="893" t="s">
        <v>767</v>
      </c>
      <c r="C57" s="228">
        <f ca="1">C29</f>
        <v>4990</v>
      </c>
      <c r="D57" s="1354"/>
      <c r="E57" s="1355"/>
      <c r="F57" s="1356"/>
      <c r="I57" s="1357" t="s">
        <v>844</v>
      </c>
      <c r="J57" s="1358">
        <f ca="1">IF(OR(M47="住宅",J51&lt;L48,J56="是"),"——",J51-L48)</f>
        <v>29.44</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29</v>
      </c>
      <c r="D58" s="903" t="s">
        <v>715</v>
      </c>
      <c r="E58" s="904"/>
      <c r="F58" s="905"/>
      <c r="I58" s="1357" t="s">
        <v>848</v>
      </c>
      <c r="J58" s="1359">
        <f ca="1">IF(J55&lt;0.4,0.4,J55)</f>
        <v>0.49099999999999999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2450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740</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3331</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5">
        <f t="shared" si="0"/>
        <v>30</v>
      </c>
      <c r="I62" s="1364" t="s">
        <v>858</v>
      </c>
      <c r="J62" s="608" t="s">
        <v>859</v>
      </c>
      <c r="K62" s="608" t="s">
        <v>860</v>
      </c>
      <c r="L62" s="608" t="s">
        <v>861</v>
      </c>
      <c r="M62" s="1365" t="s">
        <v>862</v>
      </c>
      <c r="O62" s="1322" t="s">
        <v>409</v>
      </c>
      <c r="P62" s="1323" t="s">
        <v>863</v>
      </c>
      <c r="Q62" s="1324">
        <f ca="1">Q56+Q57</f>
        <v>11631</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ROUND(C57*F64,2)</f>
        <v>24.95</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3.84</v>
      </c>
      <c r="D65" s="907" t="s">
        <v>743</v>
      </c>
      <c r="E65" s="893" t="s">
        <v>744</v>
      </c>
      <c r="F65" s="319">
        <f t="shared" ca="1" si="0"/>
        <v>1E-3</v>
      </c>
      <c r="I65" s="1364" t="s">
        <v>867</v>
      </c>
      <c r="J65" s="608">
        <v>40</v>
      </c>
      <c r="K65" s="608">
        <v>30</v>
      </c>
      <c r="L65" s="608">
        <v>50</v>
      </c>
      <c r="M65" s="1366">
        <v>0.02</v>
      </c>
      <c r="O65" s="1322" t="s">
        <v>403</v>
      </c>
      <c r="P65" s="1323" t="s">
        <v>868</v>
      </c>
      <c r="Q65" s="1324">
        <f ca="1">C40+J29</f>
        <v>11631</v>
      </c>
      <c r="R65" s="1324" t="s">
        <v>818</v>
      </c>
    </row>
    <row r="66" spans="1:18" s="1289" customFormat="1" ht="16.2"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-29</v>
      </c>
      <c r="D67" s="906" t="s">
        <v>753</v>
      </c>
      <c r="E67" s="911"/>
      <c r="F67" s="912"/>
      <c r="O67" s="1331" t="s">
        <v>405</v>
      </c>
      <c r="P67" s="1323" t="s">
        <v>850</v>
      </c>
      <c r="Q67" s="1367">
        <f ca="1">L51</f>
        <v>12195</v>
      </c>
      <c r="R67" s="1324" t="s">
        <v>870</v>
      </c>
    </row>
    <row r="68" spans="1:18" s="1289" customFormat="1" ht="16.2" thickBot="1">
      <c r="A68" s="890" t="s">
        <v>395</v>
      </c>
      <c r="B68" s="891" t="s">
        <v>774</v>
      </c>
      <c r="C68" s="291">
        <f ca="1">ROUND(C67*(1-((1+F70)/(1+F68))^F69)/(F68-F70),0)</f>
        <v>-310</v>
      </c>
      <c r="D68" s="908" t="s">
        <v>758</v>
      </c>
      <c r="E68" s="893" t="s">
        <v>759</v>
      </c>
      <c r="F68" s="302">
        <f ca="1">F40</f>
        <v>5.5E-2</v>
      </c>
      <c r="O68" s="1331" t="s">
        <v>406</v>
      </c>
      <c r="P68" s="1368" t="s">
        <v>871</v>
      </c>
      <c r="Q68" s="1324">
        <f ca="1">ROUND(Q69-Q70*Q71,0)</f>
        <v>682</v>
      </c>
      <c r="R68" s="1324" t="s">
        <v>414</v>
      </c>
    </row>
    <row r="69" spans="1:18" s="1289" customFormat="1" ht="13.8" thickBot="1">
      <c r="A69" s="894"/>
      <c r="B69" s="895"/>
      <c r="C69" s="296"/>
      <c r="D69" s="913" t="s">
        <v>762</v>
      </c>
      <c r="E69" s="893" t="s">
        <v>763</v>
      </c>
      <c r="F69" s="322">
        <f ca="1">F41</f>
        <v>16.559999999999999</v>
      </c>
      <c r="O69" s="1331" t="s">
        <v>411</v>
      </c>
      <c r="P69" s="1368" t="s">
        <v>872</v>
      </c>
      <c r="Q69" s="1324">
        <f ca="1">C39</f>
        <v>951</v>
      </c>
      <c r="R69" s="1324" t="s">
        <v>818</v>
      </c>
    </row>
    <row r="70" spans="1:18" s="1289" customFormat="1" ht="13.8" thickBot="1">
      <c r="A70" s="897"/>
      <c r="B70" s="898"/>
      <c r="C70" s="300"/>
      <c r="D70" s="909"/>
      <c r="E70" s="893" t="s">
        <v>766</v>
      </c>
      <c r="F70" s="988"/>
      <c r="O70" s="1331" t="s">
        <v>412</v>
      </c>
      <c r="P70" s="1368" t="s">
        <v>873</v>
      </c>
      <c r="Q70" s="1324">
        <f ca="1">C13</f>
        <v>3842</v>
      </c>
      <c r="R70" s="1324" t="s">
        <v>818</v>
      </c>
    </row>
    <row r="71" spans="1:18" s="1289" customFormat="1" ht="13.8" thickBot="1">
      <c r="A71" s="914" t="s">
        <v>396</v>
      </c>
      <c r="B71" s="915" t="s">
        <v>776</v>
      </c>
      <c r="C71" s="325">
        <f ca="1">ROUND(C68*10000/F71,0)</f>
        <v>-569</v>
      </c>
      <c r="D71" s="916" t="s">
        <v>777</v>
      </c>
      <c r="E71" s="917" t="s">
        <v>778</v>
      </c>
      <c r="F71" s="328">
        <f ca="1">F43</f>
        <v>5446.36</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269</v>
      </c>
      <c r="D75" s="1289"/>
      <c r="E75" s="1289"/>
      <c r="F75" s="1289"/>
      <c r="K75" s="1306"/>
      <c r="L75" s="1289"/>
      <c r="O75" s="1322" t="s">
        <v>409</v>
      </c>
      <c r="P75" s="1323" t="s">
        <v>838</v>
      </c>
      <c r="Q75" s="1324">
        <f ca="1">Q65+Q66</f>
        <v>11631</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0.71700000000000008</v>
      </c>
    </row>
    <row r="80" spans="1:18">
      <c r="B80" s="329" t="s">
        <v>800</v>
      </c>
      <c r="C80" s="264">
        <f ca="1">ROUND(C75/C39,3)</f>
        <v>0.28299999999999997</v>
      </c>
    </row>
    <row r="81" spans="2:3">
      <c r="B81" s="260" t="s">
        <v>801</v>
      </c>
      <c r="C81" s="228"/>
    </row>
    <row r="82" spans="2:3">
      <c r="B82" s="263" t="s">
        <v>802</v>
      </c>
      <c r="C82" s="265">
        <f ca="1">1-C83</f>
        <v>0.66999999999999993</v>
      </c>
    </row>
    <row r="83" spans="2:3">
      <c r="B83" s="263" t="s">
        <v>803</v>
      </c>
      <c r="C83" s="264">
        <f ca="1">ROUND(C13/C40,3)</f>
        <v>0.33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6">
        <f ca="1">J53</f>
        <v>0</v>
      </c>
      <c r="G1" s="1283">
        <f>MATCH(C1,'数据-取费表'!A6:A16,0)+5</f>
        <v>8</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0" t="e">
        <f ca="1">ROUND(D2/10000,4)</f>
        <v>#DIV/0!</v>
      </c>
      <c r="C2" s="1286" t="s">
        <v>879</v>
      </c>
      <c r="D2" s="1372" t="e">
        <f ca="1">C40+J29+L46</f>
        <v>#DIV/0!</v>
      </c>
      <c r="E2" s="1292" t="s">
        <v>880</v>
      </c>
      <c r="F2" s="1293"/>
      <c r="G2" s="2475"/>
      <c r="H2" s="2465"/>
      <c r="I2" s="2465"/>
      <c r="J2" s="2465"/>
      <c r="K2" s="2466"/>
      <c r="L2" s="2465"/>
      <c r="M2" s="2465"/>
    </row>
    <row r="3" spans="1:37" ht="18" customHeight="1" thickBot="1">
      <c r="A3" s="1294" t="s">
        <v>881</v>
      </c>
      <c r="B3" s="1295">
        <f ca="1">IF(ISERROR(D2/F43),0,ROUND(D2/F43,0))</f>
        <v>0</v>
      </c>
      <c r="C3" s="1286" t="s">
        <v>882</v>
      </c>
      <c r="D3" s="1286"/>
      <c r="E3" s="1292"/>
      <c r="F3" s="1293"/>
      <c r="G3" s="2475"/>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98" t="s">
        <v>694</v>
      </c>
      <c r="C6" s="1008">
        <f ca="1">ROUND(F6*F8*F7*(1-F9),0)</f>
        <v>0</v>
      </c>
      <c r="D6" s="145" t="s">
        <v>2106</v>
      </c>
      <c r="E6" s="292" t="s">
        <v>696</v>
      </c>
      <c r="F6" s="293">
        <f ca="1">INDIRECT("'数据-取费表'!u"&amp;$G$1)</f>
        <v>0</v>
      </c>
      <c r="G6" s="1289"/>
      <c r="H6" s="1003" t="s">
        <v>398</v>
      </c>
      <c r="I6" s="3398" t="s">
        <v>694</v>
      </c>
      <c r="J6" s="291">
        <f ca="1">ROUND(M6*M8*M7*(1-M9),0)</f>
        <v>0</v>
      </c>
      <c r="K6" s="1281" t="s">
        <v>2107</v>
      </c>
      <c r="L6" s="292" t="s">
        <v>696</v>
      </c>
      <c r="M6" s="293">
        <f ca="1">INDIRECT("'数据-取费表'!z"&amp;$G$1)</f>
        <v>0</v>
      </c>
    </row>
    <row r="7" spans="1:37" ht="18" customHeight="1">
      <c r="A7" s="1007"/>
      <c r="B7" s="3399"/>
      <c r="C7" s="1009"/>
      <c r="D7" s="297"/>
      <c r="E7" s="1010" t="s">
        <v>697</v>
      </c>
      <c r="F7" s="293">
        <f ca="1">IF(INDIRECT("'数据-取费表'!ah"&amp;$G$1)="",INDIRECT("'数据-取费表'!k"&amp;$G$1),INDIRECT("'数据-取费表'!ah"&amp;$G$1))</f>
        <v>0</v>
      </c>
      <c r="G7" s="1289"/>
      <c r="H7" s="294"/>
      <c r="I7" s="3399"/>
      <c r="J7" s="296"/>
      <c r="K7" s="297"/>
      <c r="L7" s="292" t="s">
        <v>697</v>
      </c>
      <c r="M7" s="293">
        <f ca="1">F7</f>
        <v>0</v>
      </c>
    </row>
    <row r="8" spans="1:37" ht="18" customHeight="1">
      <c r="A8" s="294"/>
      <c r="B8" s="3399"/>
      <c r="C8" s="296"/>
      <c r="D8" s="297"/>
      <c r="E8" s="292" t="s">
        <v>698</v>
      </c>
      <c r="F8" s="293">
        <f ca="1">INDIRECT("'数据-取费表'!ai"&amp;$G$1)</f>
        <v>0</v>
      </c>
      <c r="G8" s="1289"/>
      <c r="H8" s="294"/>
      <c r="I8" s="3399"/>
      <c r="J8" s="296"/>
      <c r="K8" s="297"/>
      <c r="L8" s="292" t="s">
        <v>698</v>
      </c>
      <c r="M8" s="293">
        <f ca="1">INDIRECT("'数据-取费表'!ai"&amp;$G$1)</f>
        <v>0</v>
      </c>
    </row>
    <row r="9" spans="1:37" ht="18" customHeight="1">
      <c r="A9" s="294"/>
      <c r="B9" s="3400"/>
      <c r="C9" s="296"/>
      <c r="D9" s="297"/>
      <c r="E9" s="292" t="s">
        <v>699</v>
      </c>
      <c r="F9" s="302">
        <f ca="1">INDIRECT("'数据-取费表'!w"&amp;$G$1)</f>
        <v>0</v>
      </c>
      <c r="G9" s="1289"/>
      <c r="H9" s="294"/>
      <c r="I9" s="3400"/>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3331</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0.03</v>
      </c>
      <c r="G20" s="1300"/>
      <c r="H20" s="925" t="s">
        <v>680</v>
      </c>
      <c r="I20" s="145" t="s">
        <v>730</v>
      </c>
      <c r="J20" s="22">
        <f ca="1">ROUND(M20*M21,0)</f>
        <v>0</v>
      </c>
      <c r="K20" s="314" t="s">
        <v>731</v>
      </c>
      <c r="L20" s="292" t="s">
        <v>732</v>
      </c>
      <c r="M20" s="31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6" t="s">
        <v>2302</v>
      </c>
      <c r="I31" s="1302"/>
      <c r="J31" s="1303"/>
      <c r="K31" s="119"/>
      <c r="L31" s="2468"/>
      <c r="M31" s="2469"/>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3331</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IF(项目基本情况!B11="自然人","——",ROUND(F34*F35,0))</f>
        <v>0</v>
      </c>
      <c r="D34" s="314" t="s">
        <v>731</v>
      </c>
      <c r="E34" s="292" t="s">
        <v>732</v>
      </c>
      <c r="F34" s="315">
        <f>'数据-取费表'!B52</f>
        <v>30</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ROUND(C29*F36,0)</f>
        <v>0</v>
      </c>
      <c r="D36" s="1253" t="s">
        <v>771</v>
      </c>
      <c r="E36" s="292" t="s">
        <v>712</v>
      </c>
      <c r="F36" s="318">
        <f ca="1">INDIRECT("'数据-取费表'!Ak"&amp;$G$1)</f>
        <v>0</v>
      </c>
      <c r="G36" s="1289"/>
      <c r="H36" s="2470"/>
      <c r="I36" s="1302"/>
      <c r="J36" s="1303"/>
      <c r="K36" s="2328"/>
      <c r="L36" s="2470"/>
      <c r="M36" s="2470"/>
    </row>
    <row r="37" spans="1:18" ht="18" customHeight="1">
      <c r="A37" s="925" t="s">
        <v>437</v>
      </c>
      <c r="B37" s="292" t="s">
        <v>742</v>
      </c>
      <c r="C37" s="21">
        <f ca="1">ROUND(C13*F37,0)</f>
        <v>0</v>
      </c>
      <c r="D37" s="1253" t="s">
        <v>743</v>
      </c>
      <c r="E37" s="292" t="s">
        <v>744</v>
      </c>
      <c r="F37" s="319">
        <f ca="1">INDIRECT("'数据-取费表'!Al"&amp;$G$1)</f>
        <v>0</v>
      </c>
      <c r="G37" s="1289"/>
      <c r="H37" s="2470"/>
      <c r="I37" s="1302"/>
      <c r="J37" s="1303"/>
      <c r="K37" s="2328"/>
      <c r="L37" s="2470"/>
      <c r="M37" s="2470"/>
    </row>
    <row r="38" spans="1:18" ht="18" customHeight="1" thickBot="1">
      <c r="A38" s="1023" t="s">
        <v>684</v>
      </c>
      <c r="B38" s="1024" t="s">
        <v>728</v>
      </c>
      <c r="C38" s="1025">
        <f ca="1">ROUND(C5*F38,0)</f>
        <v>0</v>
      </c>
      <c r="D38" s="1026" t="s">
        <v>748</v>
      </c>
      <c r="E38" s="1024" t="s">
        <v>744</v>
      </c>
      <c r="F38" s="1020">
        <f ca="1">INDIRECT("'数据-取费表'!Am"&amp;$G$1)</f>
        <v>0</v>
      </c>
      <c r="G38" s="1289"/>
      <c r="H38" s="2470"/>
      <c r="I38" s="1302"/>
      <c r="J38" s="1303"/>
      <c r="K38" s="2468"/>
      <c r="L38" s="2470"/>
      <c r="M38" s="2470"/>
    </row>
    <row r="39" spans="1:18" ht="24.6" customHeight="1" thickTop="1">
      <c r="A39" s="1013" t="s">
        <v>394</v>
      </c>
      <c r="B39" s="1028" t="s">
        <v>772</v>
      </c>
      <c r="C39" s="300">
        <f ca="1">C5-C30</f>
        <v>0</v>
      </c>
      <c r="D39" s="1029" t="s">
        <v>773</v>
      </c>
      <c r="E39" s="1030"/>
      <c r="F39" s="1031"/>
      <c r="G39" s="1289"/>
      <c r="H39" s="2470"/>
      <c r="I39" s="1302"/>
      <c r="J39" s="1303"/>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3347</v>
      </c>
      <c r="B45" s="1304"/>
      <c r="C45" s="1373" t="e">
        <f ca="1">ROUND((C68-C40)/10000,4)</f>
        <v>#DIV/0!</v>
      </c>
      <c r="D45" s="3127" t="s">
        <v>3348</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96" t="s">
        <v>837</v>
      </c>
      <c r="L53" s="3397"/>
      <c r="O53" s="1322" t="s">
        <v>409</v>
      </c>
      <c r="P53" s="1323" t="s">
        <v>838</v>
      </c>
      <c r="Q53" s="1324" t="e">
        <f ca="1">Q47+Q48</f>
        <v>#DIV/0!</v>
      </c>
      <c r="R53" s="1324" t="s">
        <v>410</v>
      </c>
    </row>
    <row r="54" spans="1:18" s="1289" customFormat="1" ht="13.8"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3331</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5">
        <f t="shared" si="0"/>
        <v>30</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24.6"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8" thickBot="1">
      <c r="A69" s="894"/>
      <c r="B69" s="895"/>
      <c r="C69" s="296"/>
      <c r="D69" s="913" t="s">
        <v>762</v>
      </c>
      <c r="E69" s="893" t="s">
        <v>763</v>
      </c>
      <c r="F69" s="322">
        <f ca="1">F41</f>
        <v>0</v>
      </c>
      <c r="O69" s="1331" t="s">
        <v>411</v>
      </c>
      <c r="P69" s="1368" t="s">
        <v>872</v>
      </c>
      <c r="Q69" s="1324">
        <f ca="1">C39</f>
        <v>0</v>
      </c>
      <c r="R69" s="1324" t="s">
        <v>818</v>
      </c>
    </row>
    <row r="70" spans="1:18" s="1289" customFormat="1" ht="13.8" thickBot="1">
      <c r="A70" s="897"/>
      <c r="B70" s="898"/>
      <c r="C70" s="300"/>
      <c r="D70" s="909"/>
      <c r="E70" s="893" t="s">
        <v>766</v>
      </c>
      <c r="F70" s="988"/>
      <c r="O70" s="1331" t="s">
        <v>412</v>
      </c>
      <c r="P70" s="1368" t="s">
        <v>873</v>
      </c>
      <c r="Q70" s="1324">
        <f ca="1">C13</f>
        <v>0</v>
      </c>
      <c r="R70" s="1324" t="s">
        <v>818</v>
      </c>
    </row>
    <row r="71" spans="1:18" s="1289" customFormat="1" ht="13.8"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9" priority="3">
      <formula>$F$10="自定义"</formula>
    </cfRule>
  </conditionalFormatting>
  <conditionalFormatting sqref="C54">
    <cfRule type="expression" dxfId="98" priority="1">
      <formula>$F$53="自定义"</formula>
    </cfRule>
  </conditionalFormatting>
  <conditionalFormatting sqref="I55 I60">
    <cfRule type="expression" dxfId="97" priority="5">
      <formula>$J$51&gt;$L$48</formula>
    </cfRule>
  </conditionalFormatting>
  <conditionalFormatting sqref="K55 K60">
    <cfRule type="expression" dxfId="9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0" t="s">
        <v>2311</v>
      </c>
      <c r="B2" s="2591" t="e">
        <f>IF(D2="——",C40,C40+E2)</f>
        <v>#DIV/0!</v>
      </c>
      <c r="C2" s="2592" t="s">
        <v>2312</v>
      </c>
      <c r="D2" s="3135" t="s">
        <v>3354</v>
      </c>
      <c r="E2" s="3136"/>
      <c r="F2" s="2594"/>
      <c r="G2" s="2595"/>
      <c r="H2" s="2596"/>
      <c r="I2" s="2597"/>
      <c r="J2" s="3401" t="s">
        <v>2313</v>
      </c>
      <c r="K2" s="3402"/>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403" t="s">
        <v>2323</v>
      </c>
      <c r="K3" s="3404"/>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403" t="s">
        <v>2325</v>
      </c>
      <c r="K4" s="3404"/>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05" t="s">
        <v>2329</v>
      </c>
      <c r="B6" s="3406"/>
      <c r="C6" s="3407"/>
      <c r="D6" s="2618"/>
      <c r="E6" s="2619"/>
      <c r="F6" s="2620"/>
      <c r="G6" s="2621"/>
      <c r="H6" s="2596"/>
      <c r="I6" s="2597"/>
      <c r="J6" s="3408">
        <v>1</v>
      </c>
      <c r="K6" s="3409"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408"/>
      <c r="K7" s="3410"/>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12" t="s">
        <v>2343</v>
      </c>
      <c r="C8" s="3413"/>
      <c r="D8" s="2637" t="s">
        <v>2344</v>
      </c>
      <c r="E8" s="2638" t="s">
        <v>2345</v>
      </c>
      <c r="F8" s="2639" t="s">
        <v>2346</v>
      </c>
      <c r="G8" s="2640"/>
      <c r="H8" s="2596"/>
      <c r="I8" s="2597"/>
      <c r="J8" s="3408"/>
      <c r="K8" s="3410"/>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12" t="s">
        <v>2349</v>
      </c>
      <c r="C9" s="3413"/>
      <c r="D9" s="2637">
        <f>ROUND(D6*E9,0)</f>
        <v>0</v>
      </c>
      <c r="E9" s="2641"/>
      <c r="F9" s="2642" t="s">
        <v>2350</v>
      </c>
      <c r="G9" s="2621"/>
      <c r="H9" s="2596"/>
      <c r="I9" s="2597"/>
      <c r="J9" s="3408"/>
      <c r="K9" s="3410"/>
      <c r="L9" s="2631" t="s">
        <v>2351</v>
      </c>
      <c r="M9" s="2632"/>
      <c r="N9" s="2608"/>
      <c r="O9" s="2633"/>
      <c r="P9" s="2633"/>
      <c r="Q9" s="2634">
        <v>365</v>
      </c>
      <c r="R9" s="2635">
        <f t="shared" si="0"/>
        <v>0</v>
      </c>
      <c r="S9" s="2589"/>
      <c r="T9" s="2589"/>
      <c r="U9" s="2589"/>
      <c r="V9" s="2597"/>
    </row>
    <row r="10" spans="1:22" s="2601" customFormat="1" ht="13.2" customHeight="1">
      <c r="A10" s="2636">
        <v>2</v>
      </c>
      <c r="B10" s="3412" t="s">
        <v>2352</v>
      </c>
      <c r="C10" s="3413"/>
      <c r="D10" s="2637">
        <f>ROUND(D6*E10,0)</f>
        <v>0</v>
      </c>
      <c r="E10" s="2641"/>
      <c r="F10" s="2642" t="s">
        <v>2353</v>
      </c>
      <c r="G10" s="2621"/>
      <c r="H10" s="2596"/>
      <c r="I10" s="2597"/>
      <c r="J10" s="3408"/>
      <c r="K10" s="3410"/>
      <c r="L10" s="2631" t="s">
        <v>2354</v>
      </c>
      <c r="M10" s="2632"/>
      <c r="N10" s="2608"/>
      <c r="O10" s="2633"/>
      <c r="P10" s="2633"/>
      <c r="Q10" s="2634">
        <v>365</v>
      </c>
      <c r="R10" s="2635">
        <f t="shared" si="0"/>
        <v>0</v>
      </c>
      <c r="S10" s="2589"/>
      <c r="T10" s="2589"/>
      <c r="U10" s="2589"/>
      <c r="V10" s="2597"/>
    </row>
    <row r="11" spans="1:22" s="2601" customFormat="1" ht="13.2" customHeight="1">
      <c r="A11" s="2636">
        <v>3</v>
      </c>
      <c r="B11" s="3412" t="s">
        <v>2355</v>
      </c>
      <c r="C11" s="3413"/>
      <c r="D11" s="2637">
        <f>D12+D14+D15+D16</f>
        <v>0</v>
      </c>
      <c r="E11" s="2643" t="e">
        <f>D11/D6</f>
        <v>#DIV/0!</v>
      </c>
      <c r="F11" s="2639"/>
      <c r="G11" s="2640"/>
      <c r="H11" s="2596"/>
      <c r="I11" s="2597"/>
      <c r="J11" s="3408"/>
      <c r="K11" s="3410"/>
      <c r="L11" s="2631" t="s">
        <v>2356</v>
      </c>
      <c r="M11" s="2632"/>
      <c r="N11" s="2608"/>
      <c r="O11" s="2633"/>
      <c r="P11" s="2633"/>
      <c r="Q11" s="2634">
        <v>365</v>
      </c>
      <c r="R11" s="2635">
        <f t="shared" si="0"/>
        <v>0</v>
      </c>
      <c r="S11" s="2589"/>
      <c r="T11" s="2589"/>
      <c r="U11" s="2589"/>
      <c r="V11" s="2597"/>
    </row>
    <row r="12" spans="1:22" s="2601" customFormat="1" ht="13.2" customHeight="1">
      <c r="A12" s="2644" t="s">
        <v>2357</v>
      </c>
      <c r="B12" s="3414" t="s">
        <v>2358</v>
      </c>
      <c r="C12" s="3415"/>
      <c r="D12" s="2645">
        <f>ROUND(D13*1.2%*(1-30%),0)</f>
        <v>0</v>
      </c>
      <c r="E12" s="2646">
        <v>1.2E-2</v>
      </c>
      <c r="F12" s="2639" t="s">
        <v>2359</v>
      </c>
      <c r="G12" s="2640"/>
      <c r="H12" s="2596"/>
      <c r="I12" s="2597"/>
      <c r="J12" s="3408"/>
      <c r="K12" s="3410"/>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408"/>
      <c r="K13" s="3410"/>
      <c r="L13" s="2631" t="s">
        <v>2362</v>
      </c>
      <c r="M13" s="2632"/>
      <c r="N13" s="2608"/>
      <c r="O13" s="2633"/>
      <c r="P13" s="2633"/>
      <c r="Q13" s="2634">
        <v>365</v>
      </c>
      <c r="R13" s="2635">
        <f t="shared" si="0"/>
        <v>0</v>
      </c>
      <c r="S13" s="2589"/>
      <c r="T13" s="2589"/>
      <c r="U13" s="2589"/>
      <c r="V13" s="2597"/>
    </row>
    <row r="14" spans="1:22" s="2601" customFormat="1" ht="13.2" customHeight="1">
      <c r="A14" s="2644" t="s">
        <v>2363</v>
      </c>
      <c r="B14" s="3414" t="s">
        <v>2364</v>
      </c>
      <c r="C14" s="3415"/>
      <c r="D14" s="2645">
        <f>ROUND(E14*B5/10000,0)</f>
        <v>0</v>
      </c>
      <c r="E14" s="2634"/>
      <c r="F14" s="2639" t="s">
        <v>2365</v>
      </c>
      <c r="G14" s="2640"/>
      <c r="H14" s="2596"/>
      <c r="I14" s="2597"/>
      <c r="J14" s="3408"/>
      <c r="K14" s="3411"/>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414" t="s">
        <v>2368</v>
      </c>
      <c r="C15" s="3415"/>
      <c r="D15" s="2645">
        <f>ROUND(D6*E15,0)</f>
        <v>0</v>
      </c>
      <c r="E15" s="2646">
        <v>5.5E-2</v>
      </c>
      <c r="F15" s="2639" t="s">
        <v>2369</v>
      </c>
      <c r="G15" s="2621"/>
      <c r="H15" s="2596"/>
      <c r="I15" s="2597"/>
      <c r="J15" s="3408">
        <v>2</v>
      </c>
      <c r="K15" s="3409"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414" t="s">
        <v>2377</v>
      </c>
      <c r="C16" s="3415"/>
      <c r="D16" s="2656">
        <f>D6*E16</f>
        <v>0</v>
      </c>
      <c r="E16" s="2657"/>
      <c r="F16" s="2642" t="s">
        <v>2378</v>
      </c>
      <c r="G16" s="2621"/>
      <c r="H16" s="2596"/>
      <c r="I16" s="2597"/>
      <c r="J16" s="3408"/>
      <c r="K16" s="3410"/>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16" t="s">
        <v>2380</v>
      </c>
      <c r="C17" s="3417"/>
      <c r="D17" s="2659">
        <f>ROUND(D6*E17,0)</f>
        <v>0</v>
      </c>
      <c r="E17" s="2660"/>
      <c r="F17" s="2661" t="s">
        <v>2381</v>
      </c>
      <c r="G17" s="2621"/>
      <c r="H17" s="2596"/>
      <c r="I17" s="2597"/>
      <c r="J17" s="3408"/>
      <c r="K17" s="3410"/>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408"/>
      <c r="K18" s="3410"/>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408"/>
      <c r="K19" s="3411"/>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08">
        <v>3</v>
      </c>
      <c r="K20" s="3409"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408"/>
      <c r="K21" s="3410"/>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408"/>
      <c r="K22" s="3410"/>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408"/>
      <c r="K23" s="3410"/>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408"/>
      <c r="K24" s="3411"/>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418">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41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401" t="s">
        <v>2313</v>
      </c>
      <c r="K32" s="3402"/>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403" t="s">
        <v>2323</v>
      </c>
      <c r="K33" s="3404"/>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403" t="s">
        <v>2325</v>
      </c>
      <c r="K34" s="3404"/>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408">
        <v>1</v>
      </c>
      <c r="K36" s="3409"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408"/>
      <c r="K37" s="3410"/>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08"/>
      <c r="K38" s="3410"/>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408"/>
      <c r="K39" s="3410"/>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408"/>
      <c r="K40" s="3411"/>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418">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41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K35" sqref="K35"/>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3329</v>
      </c>
      <c r="D1" s="1268" t="s">
        <v>43</v>
      </c>
      <c r="E1" s="1269" t="s">
        <v>678</v>
      </c>
      <c r="F1" s="996">
        <f ca="1">J53</f>
        <v>26.57</v>
      </c>
      <c r="G1" s="1283">
        <f>MATCH(C1,'数据-取费表'!A6:A16,0)+5</f>
        <v>7</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7158</v>
      </c>
      <c r="C2" s="1286" t="s">
        <v>805</v>
      </c>
      <c r="D2" s="1286"/>
      <c r="E2" s="1292"/>
      <c r="F2" s="1293"/>
      <c r="G2" s="2475"/>
      <c r="H2" s="2465"/>
      <c r="I2" s="2465"/>
      <c r="J2" s="2465"/>
      <c r="K2" s="2466"/>
      <c r="L2" s="2465"/>
      <c r="M2" s="2465"/>
    </row>
    <row r="3" spans="1:37" ht="18" customHeight="1" thickBot="1">
      <c r="A3" s="1294" t="s">
        <v>806</v>
      </c>
      <c r="B3" s="1295">
        <f ca="1">IF(ISERROR(B2*10000/F43),0,ROUND(B2*10000/F43,0))</f>
        <v>4337</v>
      </c>
      <c r="C3" s="1286" t="s">
        <v>807</v>
      </c>
      <c r="D3" s="1286"/>
      <c r="E3" s="1292"/>
      <c r="F3" s="1293"/>
      <c r="G3" s="2475"/>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476</v>
      </c>
      <c r="D5" s="1270" t="s">
        <v>693</v>
      </c>
      <c r="E5" s="1005"/>
      <c r="F5" s="1006"/>
      <c r="G5" s="1289"/>
      <c r="H5" s="289">
        <v>1</v>
      </c>
      <c r="I5" s="290" t="s">
        <v>692</v>
      </c>
      <c r="J5" s="1004">
        <f ca="1">J6+J10+J12</f>
        <v>0</v>
      </c>
      <c r="K5" s="1270" t="s">
        <v>693</v>
      </c>
      <c r="L5" s="1005"/>
      <c r="M5" s="1006"/>
    </row>
    <row r="6" spans="1:37" ht="18" customHeight="1">
      <c r="A6" s="1003" t="s">
        <v>398</v>
      </c>
      <c r="B6" s="3398" t="s">
        <v>694</v>
      </c>
      <c r="C6" s="1008">
        <f ca="1">ROUND(F6*F8*F7*(1-F9)/10000,0)</f>
        <v>476</v>
      </c>
      <c r="D6" s="145" t="s">
        <v>2109</v>
      </c>
      <c r="E6" s="292" t="s">
        <v>696</v>
      </c>
      <c r="F6" s="293">
        <f ca="1">INDIRECT("'数据-取费表'!u"&amp;$G$1)</f>
        <v>1500</v>
      </c>
      <c r="G6" s="1289"/>
      <c r="H6" s="1003" t="s">
        <v>398</v>
      </c>
      <c r="I6" s="3398" t="s">
        <v>694</v>
      </c>
      <c r="J6" s="291">
        <f ca="1">ROUND(M6*M8*M7*(1-M9)/10000,0)</f>
        <v>0</v>
      </c>
      <c r="K6" s="145" t="s">
        <v>2108</v>
      </c>
      <c r="L6" s="292" t="s">
        <v>696</v>
      </c>
      <c r="M6" s="293">
        <f ca="1">INDIRECT("'数据-取费表'!z"&amp;$G$1)</f>
        <v>0</v>
      </c>
    </row>
    <row r="7" spans="1:37" ht="18" customHeight="1">
      <c r="A7" s="1007"/>
      <c r="B7" s="3399"/>
      <c r="C7" s="1009"/>
      <c r="D7" s="297"/>
      <c r="E7" s="1010" t="s">
        <v>697</v>
      </c>
      <c r="F7" s="293">
        <f ca="1">IF(INDIRECT("'数据-取费表'!ah"&amp;$G$1)="",INDIRECT("'数据-取费表'!k"&amp;$G$1),INDIRECT("'数据-取费表'!ah"&amp;$G$1))</f>
        <v>311</v>
      </c>
      <c r="G7" s="1289"/>
      <c r="H7" s="294"/>
      <c r="I7" s="3399"/>
      <c r="J7" s="296"/>
      <c r="K7" s="297"/>
      <c r="L7" s="292" t="s">
        <v>697</v>
      </c>
      <c r="M7" s="293">
        <f ca="1">F7</f>
        <v>311</v>
      </c>
    </row>
    <row r="8" spans="1:37" ht="18" customHeight="1">
      <c r="A8" s="294"/>
      <c r="B8" s="3399"/>
      <c r="C8" s="296"/>
      <c r="D8" s="297"/>
      <c r="E8" s="292" t="s">
        <v>698</v>
      </c>
      <c r="F8" s="293">
        <f ca="1">INDIRECT("'数据-取费表'!ai"&amp;$G$1)</f>
        <v>12</v>
      </c>
      <c r="G8" s="1289"/>
      <c r="H8" s="294"/>
      <c r="I8" s="3399"/>
      <c r="J8" s="296"/>
      <c r="K8" s="297"/>
      <c r="L8" s="292" t="s">
        <v>698</v>
      </c>
      <c r="M8" s="293">
        <f ca="1">INDIRECT("'数据-取费表'!ai"&amp;$G$1)</f>
        <v>12</v>
      </c>
    </row>
    <row r="9" spans="1:37" ht="18" customHeight="1">
      <c r="A9" s="294"/>
      <c r="B9" s="3400"/>
      <c r="C9" s="296"/>
      <c r="D9" s="297"/>
      <c r="E9" s="292" t="s">
        <v>699</v>
      </c>
      <c r="F9" s="302">
        <f ca="1">INDIRECT("'数据-取费表'!w"&amp;$G$1)</f>
        <v>0.15</v>
      </c>
      <c r="G9" s="1289"/>
      <c r="H9" s="294"/>
      <c r="I9" s="3400"/>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t="s">
        <v>3456</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9378</v>
      </c>
      <c r="D13" s="1015" t="s">
        <v>705</v>
      </c>
      <c r="E13" s="1015" t="s">
        <v>706</v>
      </c>
      <c r="F13" s="1016">
        <f ca="1">INDIRECT("'数据-取费表'!y"&amp;$G$1)</f>
        <v>0.77</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9077</v>
      </c>
      <c r="D14" s="1254" t="s">
        <v>708</v>
      </c>
      <c r="E14" s="1252"/>
      <c r="F14" s="309"/>
      <c r="G14" s="1289"/>
      <c r="H14" s="925" t="s">
        <v>398</v>
      </c>
      <c r="I14" s="292" t="s">
        <v>709</v>
      </c>
      <c r="J14" s="21">
        <f ca="1">C29</f>
        <v>12179</v>
      </c>
      <c r="K14" s="12"/>
      <c r="L14" s="756"/>
      <c r="M14" s="757"/>
    </row>
    <row r="15" spans="1:37" s="1301" customFormat="1" ht="18" customHeight="1" thickBot="1">
      <c r="A15" s="925" t="s">
        <v>399</v>
      </c>
      <c r="B15" s="292" t="s">
        <v>710</v>
      </c>
      <c r="C15" s="21">
        <f ca="1">ROUND(C14*F15,0)</f>
        <v>454</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24</v>
      </c>
      <c r="K16" s="1021" t="s">
        <v>715</v>
      </c>
      <c r="L16" s="1022"/>
      <c r="M16" s="1006"/>
    </row>
    <row r="17" spans="1:37" s="1301" customFormat="1" ht="18" customHeight="1">
      <c r="A17" s="925" t="s">
        <v>681</v>
      </c>
      <c r="B17" s="292" t="s">
        <v>716</v>
      </c>
      <c r="C17" s="21">
        <f ca="1">ROUND(F17*(F43+INDIRECT("'数据-取费表'!S"&amp;$G$1))/10000,0)</f>
        <v>330</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182</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10043</v>
      </c>
      <c r="D19" s="121" t="s">
        <v>726</v>
      </c>
      <c r="E19" s="1266"/>
      <c r="F19" s="23"/>
      <c r="G19" s="1289"/>
      <c r="H19" s="925" t="s">
        <v>399</v>
      </c>
      <c r="I19" s="292" t="s">
        <v>727</v>
      </c>
      <c r="J19" s="21">
        <f ca="1">IF(K19="按租金收入计税",ROUND(J6*M19/(1+'数据-取费表'!C42),2),ROUND(C29*M19*0.7,2))</f>
        <v>0</v>
      </c>
      <c r="K19" s="1275" t="s">
        <v>3331</v>
      </c>
      <c r="L19" s="292" t="s">
        <v>712</v>
      </c>
      <c r="M19" s="312">
        <f>IF(K19="按租金收入计税",'数据-取费表'!B51,'数据-取费表'!B50)</f>
        <v>0.12</v>
      </c>
    </row>
    <row r="20" spans="1:37" s="1301" customFormat="1" ht="18" customHeight="1">
      <c r="A20" s="925" t="s">
        <v>402</v>
      </c>
      <c r="B20" s="292" t="s">
        <v>728</v>
      </c>
      <c r="C20" s="21">
        <f ca="1">ROUND(C19*F20,0)</f>
        <v>301</v>
      </c>
      <c r="D20" s="313" t="s">
        <v>729</v>
      </c>
      <c r="E20" s="292" t="s">
        <v>712</v>
      </c>
      <c r="F20" s="312">
        <f>'数据-取费表'!B37</f>
        <v>0.03</v>
      </c>
      <c r="G20" s="1300"/>
      <c r="H20" s="925" t="s">
        <v>680</v>
      </c>
      <c r="I20" s="145" t="s">
        <v>730</v>
      </c>
      <c r="J20" s="22">
        <f ca="1">ROUND(M20*M21/10000,2)</f>
        <v>0</v>
      </c>
      <c r="K20" s="314" t="s">
        <v>731</v>
      </c>
      <c r="L20" s="292" t="s">
        <v>732</v>
      </c>
      <c r="M20" s="31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24.36</v>
      </c>
      <c r="K22" s="1253" t="s">
        <v>739</v>
      </c>
      <c r="L22" s="292" t="s">
        <v>712</v>
      </c>
      <c r="M22" s="318">
        <f ca="1">INDIRECT("'数据-取费表'!Ak"&amp;$G$1)</f>
        <v>2E-3</v>
      </c>
    </row>
    <row r="23" spans="1:37" s="1301" customFormat="1" ht="18" customHeight="1">
      <c r="A23" s="925" t="s">
        <v>397</v>
      </c>
      <c r="B23" s="292" t="s">
        <v>740</v>
      </c>
      <c r="C23" s="21">
        <f ca="1">IF('数据-取费表'!B22&lt;=1,ROUND(C19*F24*F23/2,0)+ROUND(C20*F24*F23/2,0),ROUND(C19*(POWER((1+F24),F23/2)-1),0)+ROUND(C20*(POWER((1+F24),F23/2)-1),0))</f>
        <v>403</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712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-24</v>
      </c>
      <c r="K25" s="1029" t="s">
        <v>753</v>
      </c>
      <c r="L25" s="1030"/>
      <c r="M25" s="1031"/>
    </row>
    <row r="26" spans="1:37">
      <c r="A26" s="925" t="s">
        <v>397</v>
      </c>
      <c r="B26" s="292" t="s">
        <v>754</v>
      </c>
      <c r="C26" s="21">
        <f ca="1">ROUND((C19+C20)*F26,0)</f>
        <v>517</v>
      </c>
      <c r="D26" s="313" t="s">
        <v>755</v>
      </c>
      <c r="E26" s="303" t="s">
        <v>756</v>
      </c>
      <c r="F26" s="302">
        <f ca="1">INDIRECT("'数据-取费表'!q"&amp;$G$1)</f>
        <v>0.05</v>
      </c>
      <c r="G26" s="1289"/>
      <c r="H26" s="289" t="s">
        <v>395</v>
      </c>
      <c r="I26" s="290" t="s">
        <v>757</v>
      </c>
      <c r="J26" s="291">
        <f ca="1">IF(J5&lt;&gt;0,ROUND(J25*(1-((1+M28)/(1+M26))^M27)/(M26-M28),0),0)</f>
        <v>0</v>
      </c>
      <c r="K26" s="314" t="s">
        <v>758</v>
      </c>
      <c r="L26" s="292" t="s">
        <v>759</v>
      </c>
      <c r="M26" s="302">
        <f ca="1">INDIRECT("'数据-取费表'!I"&amp;$G$1)</f>
        <v>0.05</v>
      </c>
    </row>
    <row r="27" spans="1:37" ht="18" customHeight="1">
      <c r="A27" s="925" t="s">
        <v>399</v>
      </c>
      <c r="B27" s="292" t="s">
        <v>760</v>
      </c>
      <c r="C27" s="21">
        <f ca="1">ROUND(F21*F26,4)</f>
        <v>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12179</v>
      </c>
      <c r="D29" s="1026"/>
      <c r="E29" s="1024"/>
      <c r="F29" s="1027"/>
      <c r="G29" s="1300"/>
      <c r="H29" s="323" t="s">
        <v>396</v>
      </c>
      <c r="I29" s="324" t="s">
        <v>768</v>
      </c>
      <c r="J29" s="325">
        <f ca="1">ROUND(J26/(1+F40)^F41,0)</f>
        <v>0</v>
      </c>
      <c r="K29" s="326" t="s">
        <v>769</v>
      </c>
      <c r="L29" s="327"/>
      <c r="M29" s="328">
        <f ca="1">INDIRECT("'数据-取费表'!k"&amp;$G$1)</f>
        <v>16503.550000000097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116</v>
      </c>
      <c r="D30" s="1021" t="s">
        <v>715</v>
      </c>
      <c r="E30" s="1022"/>
      <c r="F30" s="1006"/>
      <c r="G30" s="1289"/>
      <c r="H30" s="2467"/>
      <c r="I30" s="1302"/>
      <c r="J30" s="1303"/>
      <c r="K30" s="119"/>
      <c r="L30" s="2468"/>
      <c r="M30" s="2469"/>
    </row>
    <row r="31" spans="1:37" ht="18" customHeight="1">
      <c r="A31" s="925" t="s">
        <v>398</v>
      </c>
      <c r="B31" s="292" t="s">
        <v>719</v>
      </c>
      <c r="C31" s="2137">
        <f ca="1">ROUND(IF(AND(项目基本情况!B11="自然人",项目基本情况!B10="北京市"),C6*F31/(1+'数据-取费表'!C42),C32+C33+C34),2)</f>
        <v>79.790000000000006</v>
      </c>
      <c r="D31" s="1254" t="s">
        <v>720</v>
      </c>
      <c r="E31" s="1253" t="s">
        <v>770</v>
      </c>
      <c r="F31" s="2136" t="str">
        <f>IF(项目基本情况!B11="企业","——",IF(M47="住宅",IF(F6*F7*F8/12/(1+'数据-取费表'!F30)&gt;100000,4%,2.5%),IF(F6*F7*F8/12/(1+'数据-取费表'!F30)&gt;100000,12%,7%)))</f>
        <v>——</v>
      </c>
      <c r="G31" s="1289"/>
      <c r="H31" s="2566" t="s">
        <v>2302</v>
      </c>
      <c r="I31" s="1302"/>
      <c r="J31" s="1303"/>
      <c r="K31" s="119"/>
      <c r="L31" s="2468"/>
      <c r="M31" s="2469"/>
    </row>
    <row r="32" spans="1:37" ht="18" customHeight="1">
      <c r="A32" s="925" t="s">
        <v>397</v>
      </c>
      <c r="B32" s="292" t="s">
        <v>723</v>
      </c>
      <c r="C32" s="21">
        <f ca="1">IF(项目基本情况!B11="自然人","——",ROUND(C6*F32/(1+'数据-取费表'!C42),2))</f>
        <v>25.39</v>
      </c>
      <c r="D32" s="1253" t="s">
        <v>724</v>
      </c>
      <c r="E32" s="292" t="s">
        <v>712</v>
      </c>
      <c r="F32" s="320">
        <f>'数据-取费表'!B41</f>
        <v>5.6000000000000001E-2</v>
      </c>
      <c r="G32" s="1289"/>
      <c r="H32" s="2467"/>
      <c r="I32" s="1302"/>
      <c r="J32" s="1303"/>
      <c r="K32" s="119"/>
      <c r="L32" s="2468"/>
      <c r="M32" s="2469"/>
    </row>
    <row r="33" spans="1:18" ht="18" customHeight="1">
      <c r="A33" s="925" t="s">
        <v>399</v>
      </c>
      <c r="B33" s="292" t="s">
        <v>727</v>
      </c>
      <c r="C33" s="21">
        <f ca="1">IF(项目基本情况!B11="自然人","——",IF(D33="按租金收入计税",ROUND(C6*F33/(1+'数据-取费表'!C42),2),IF(D33="按房产原值计税",ROUND(C29*F33*0.7,2),INDIRECT("'数据-取费表'!Aj"&amp;$G$1))))</f>
        <v>54.4</v>
      </c>
      <c r="D33" s="1275" t="s">
        <v>3331</v>
      </c>
      <c r="E33" s="292" t="s">
        <v>712</v>
      </c>
      <c r="F33" s="312">
        <f>IF(D33="按票据","——",IF(D33="按租金收入计税",'数据-取费表'!B51,'数据-取费表'!B50))</f>
        <v>0.12</v>
      </c>
      <c r="G33" s="1289"/>
      <c r="H33" s="2470"/>
      <c r="I33" s="1302"/>
      <c r="J33" s="1303"/>
      <c r="K33" s="2471"/>
      <c r="L33" s="2470"/>
      <c r="M33" s="2470"/>
    </row>
    <row r="34" spans="1:18" ht="18" customHeight="1">
      <c r="A34" s="1003" t="s">
        <v>680</v>
      </c>
      <c r="B34" s="145" t="s">
        <v>730</v>
      </c>
      <c r="C34" s="22">
        <f ca="1">IF(项目基本情况!B11="自然人","——",ROUND(F34*F35/10000,2))</f>
        <v>0</v>
      </c>
      <c r="D34" s="314" t="s">
        <v>731</v>
      </c>
      <c r="E34" s="292" t="s">
        <v>732</v>
      </c>
      <c r="F34" s="315">
        <f>'数据-取费表'!B52</f>
        <v>30</v>
      </c>
      <c r="G34" s="1289"/>
      <c r="H34" s="2467"/>
      <c r="I34" s="1302"/>
      <c r="J34" s="1303"/>
      <c r="K34" s="2472"/>
      <c r="L34" s="2473"/>
      <c r="M34" s="2473"/>
    </row>
    <row r="35" spans="1:18" ht="18" customHeight="1">
      <c r="A35" s="1037"/>
      <c r="B35" s="1035"/>
      <c r="C35" s="26"/>
      <c r="D35" s="317"/>
      <c r="E35" s="292" t="s">
        <v>736</v>
      </c>
      <c r="F35" s="293">
        <f ca="1">INDIRECT("'数据-取费表'!r"&amp;$G$1)</f>
        <v>0</v>
      </c>
      <c r="G35" s="1289"/>
      <c r="H35" s="2467"/>
      <c r="I35" s="1302"/>
      <c r="J35" s="1303"/>
      <c r="K35" s="2471"/>
      <c r="L35" s="2470"/>
      <c r="M35" s="2470"/>
    </row>
    <row r="36" spans="1:18" ht="18" customHeight="1">
      <c r="A36" s="1036" t="s">
        <v>402</v>
      </c>
      <c r="B36" s="292" t="s">
        <v>738</v>
      </c>
      <c r="C36" s="21">
        <f ca="1">ROUND(C29*F36,2)</f>
        <v>24.36</v>
      </c>
      <c r="D36" s="1253" t="s">
        <v>771</v>
      </c>
      <c r="E36" s="292" t="s">
        <v>712</v>
      </c>
      <c r="F36" s="318">
        <f ca="1">INDIRECT("'数据-取费表'!Ak"&amp;$G$1)</f>
        <v>2E-3</v>
      </c>
      <c r="G36" s="1289"/>
      <c r="H36" s="2470"/>
      <c r="I36" s="1302"/>
      <c r="J36" s="1303"/>
      <c r="K36" s="2328"/>
      <c r="L36" s="2470"/>
      <c r="M36" s="2470"/>
    </row>
    <row r="37" spans="1:18" ht="18" customHeight="1">
      <c r="A37" s="925" t="s">
        <v>437</v>
      </c>
      <c r="B37" s="292" t="s">
        <v>742</v>
      </c>
      <c r="C37" s="21">
        <f ca="1">ROUND(C13*F37,2)</f>
        <v>9.3800000000000008</v>
      </c>
      <c r="D37" s="1253" t="s">
        <v>743</v>
      </c>
      <c r="E37" s="292" t="s">
        <v>712</v>
      </c>
      <c r="F37" s="319">
        <f ca="1">INDIRECT("'数据-取费表'!Al"&amp;$G$1)</f>
        <v>1E-3</v>
      </c>
      <c r="G37" s="1289"/>
      <c r="H37" s="2470"/>
      <c r="I37" s="1302"/>
      <c r="J37" s="1303"/>
      <c r="K37" s="2328"/>
      <c r="L37" s="2470"/>
      <c r="M37" s="2470"/>
    </row>
    <row r="38" spans="1:18" ht="18" customHeight="1" thickBot="1">
      <c r="A38" s="1023" t="s">
        <v>683</v>
      </c>
      <c r="B38" s="1024" t="s">
        <v>728</v>
      </c>
      <c r="C38" s="1025">
        <f ca="1">ROUND(C5*F38,2)</f>
        <v>2.38</v>
      </c>
      <c r="D38" s="1026" t="s">
        <v>748</v>
      </c>
      <c r="E38" s="1024" t="s">
        <v>712</v>
      </c>
      <c r="F38" s="1020">
        <f ca="1">INDIRECT("'数据-取费表'!Am"&amp;$G$1)</f>
        <v>5.0000000000000001E-3</v>
      </c>
      <c r="G38" s="1289"/>
      <c r="H38" s="2470"/>
      <c r="I38" s="1302"/>
      <c r="J38" s="1303"/>
      <c r="K38" s="2468"/>
      <c r="L38" s="2470"/>
      <c r="M38" s="2470"/>
    </row>
    <row r="39" spans="1:18" ht="24.6" customHeight="1" thickTop="1">
      <c r="A39" s="1013" t="s">
        <v>394</v>
      </c>
      <c r="B39" s="1028" t="s">
        <v>752</v>
      </c>
      <c r="C39" s="300">
        <f ca="1">C5-C30</f>
        <v>360</v>
      </c>
      <c r="D39" s="1029" t="s">
        <v>753</v>
      </c>
      <c r="E39" s="1030"/>
      <c r="F39" s="1031"/>
      <c r="G39" s="1289"/>
      <c r="H39" s="2470"/>
      <c r="I39" s="1302"/>
      <c r="J39" s="1303"/>
      <c r="K39" s="2468"/>
      <c r="L39" s="2470"/>
      <c r="M39" s="2470"/>
    </row>
    <row r="40" spans="1:18" ht="18" customHeight="1">
      <c r="A40" s="289" t="s">
        <v>395</v>
      </c>
      <c r="B40" s="290" t="s">
        <v>774</v>
      </c>
      <c r="C40" s="291">
        <f ca="1">ROUND(C39*(1-((1+F42)/(1+F40))^F41)/(F40-F42),0)</f>
        <v>6445</v>
      </c>
      <c r="D40" s="314" t="s">
        <v>758</v>
      </c>
      <c r="E40" s="292" t="s">
        <v>759</v>
      </c>
      <c r="F40" s="302">
        <f ca="1">INDIRECT("'数据-取费表'!I"&amp;$G$1)</f>
        <v>0.05</v>
      </c>
      <c r="G40" s="1289"/>
      <c r="H40" s="1363"/>
      <c r="I40" s="1302"/>
      <c r="J40" s="1303"/>
      <c r="K40" s="2468"/>
      <c r="L40" s="1363"/>
      <c r="M40" s="1363"/>
    </row>
    <row r="41" spans="1:18" ht="18" customHeight="1">
      <c r="A41" s="294"/>
      <c r="B41" s="295"/>
      <c r="C41" s="296"/>
      <c r="D41" s="321" t="s">
        <v>775</v>
      </c>
      <c r="E41" s="292" t="s">
        <v>763</v>
      </c>
      <c r="F41" s="322">
        <f ca="1">IF(INDIRECT("'数据-取费表'!af"&amp;$G$1)=0,INDIRECT("'数据-取费表'!ae"&amp;$G$1),INDIRECT("'数据-取费表'!af"&amp;$G$1))</f>
        <v>26.57</v>
      </c>
      <c r="G41" s="1289"/>
      <c r="H41" s="119"/>
      <c r="I41" s="1302"/>
      <c r="J41" s="1303"/>
      <c r="K41" s="2328"/>
      <c r="L41" s="119"/>
      <c r="M41" s="119"/>
    </row>
    <row r="42" spans="1:18" ht="18" customHeight="1">
      <c r="A42" s="298"/>
      <c r="B42" s="299"/>
      <c r="C42" s="300"/>
      <c r="D42" s="317"/>
      <c r="E42" s="292" t="s">
        <v>766</v>
      </c>
      <c r="F42" s="302">
        <f ca="1">INDIRECT("'数据-取费表'!v"&amp;$G$1)</f>
        <v>0.02</v>
      </c>
      <c r="G42" s="1289"/>
      <c r="H42" s="119"/>
      <c r="I42" s="1302"/>
      <c r="J42" s="1303"/>
      <c r="K42" s="2328"/>
      <c r="L42" s="119"/>
      <c r="M42" s="119"/>
    </row>
    <row r="43" spans="1:18" ht="18" customHeight="1" thickBot="1">
      <c r="A43" s="323" t="s">
        <v>396</v>
      </c>
      <c r="B43" s="324" t="s">
        <v>776</v>
      </c>
      <c r="C43" s="325">
        <f ca="1">ROUND(C40*10000/F43,0)</f>
        <v>3905</v>
      </c>
      <c r="D43" s="326" t="s">
        <v>777</v>
      </c>
      <c r="E43" s="327" t="s">
        <v>778</v>
      </c>
      <c r="F43" s="328">
        <f ca="1">INDIRECT("'数据-取费表'!k"&amp;$G$1)</f>
        <v>16503.550000000097</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4" t="s">
        <v>808</v>
      </c>
      <c r="P45" s="1363"/>
      <c r="Q45" s="1363"/>
      <c r="R45" s="1363"/>
    </row>
    <row r="46" spans="1:18" s="1289" customFormat="1" ht="13.8" thickBot="1">
      <c r="A46" s="1308" t="s">
        <v>809</v>
      </c>
      <c r="C46" s="1309">
        <f ca="1">C68-C40</f>
        <v>-6939</v>
      </c>
      <c r="D46" s="1310" t="str">
        <f>C2</f>
        <v>万元</v>
      </c>
      <c r="E46" s="1304"/>
      <c r="F46" s="1304"/>
      <c r="I46" s="1311" t="s">
        <v>810</v>
      </c>
      <c r="J46" s="1312"/>
      <c r="K46" s="1313"/>
      <c r="L46" s="1314">
        <f ca="1">IF(M47="住宅",0,IF(L48&gt;J51,L60,J60))</f>
        <v>713</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3434</v>
      </c>
      <c r="K47" s="1320" t="s">
        <v>816</v>
      </c>
      <c r="L47" s="1321">
        <f ca="1">INDIRECT("'数据-取费表'!d"&amp;$G$1)</f>
        <v>50</v>
      </c>
      <c r="M47" s="1285" t="str">
        <f>IF(ISNUMBER(FIND("住宅",C1)),"住宅","非住宅")</f>
        <v>非住宅</v>
      </c>
      <c r="O47" s="1322" t="s">
        <v>403</v>
      </c>
      <c r="P47" s="1323" t="s">
        <v>817</v>
      </c>
      <c r="Q47" s="1324">
        <f ca="1">C40+J29</f>
        <v>6445</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3454</v>
      </c>
      <c r="K48" s="1327" t="s">
        <v>820</v>
      </c>
      <c r="L48" s="1328">
        <f ca="1">INDIRECT("'数据-取费表'!f"&amp;$G$1)</f>
        <v>26.57</v>
      </c>
      <c r="O48" s="1322" t="s">
        <v>404</v>
      </c>
      <c r="P48" s="1323" t="s">
        <v>821</v>
      </c>
      <c r="Q48" s="1324">
        <f ca="1">J60</f>
        <v>713</v>
      </c>
      <c r="R48" s="1324" t="s">
        <v>822</v>
      </c>
    </row>
    <row r="49" spans="1:18" s="1289" customFormat="1" ht="13.8" thickBot="1">
      <c r="A49" s="918" t="s">
        <v>439</v>
      </c>
      <c r="B49" s="1276" t="s">
        <v>779</v>
      </c>
      <c r="C49" s="1048">
        <f ca="1">ROUND(F49*F51*F50*(1-F52)/10000,0)</f>
        <v>0</v>
      </c>
      <c r="D49" s="989" t="s">
        <v>2108</v>
      </c>
      <c r="E49" s="1277" t="s">
        <v>780</v>
      </c>
      <c r="F49" s="994"/>
      <c r="H49" s="680"/>
      <c r="I49" s="1325" t="s">
        <v>823</v>
      </c>
      <c r="J49" s="1329">
        <f>面积清单!C37</f>
        <v>2011</v>
      </c>
      <c r="K49" s="1327" t="s">
        <v>824</v>
      </c>
      <c r="L49" s="1330"/>
      <c r="O49" s="1331" t="s">
        <v>405</v>
      </c>
      <c r="P49" s="1323" t="s">
        <v>825</v>
      </c>
      <c r="Q49" s="1324">
        <f ca="1">C29</f>
        <v>12179</v>
      </c>
      <c r="R49" s="1324" t="s">
        <v>818</v>
      </c>
    </row>
    <row r="50" spans="1:18" s="1289" customFormat="1" ht="13.8" thickBot="1">
      <c r="A50" s="919"/>
      <c r="B50" s="922"/>
      <c r="C50" s="1052"/>
      <c r="D50" s="896"/>
      <c r="E50" s="990" t="s">
        <v>697</v>
      </c>
      <c r="F50" s="991">
        <f ca="1">F7</f>
        <v>311</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3">
        <f ca="1">F8</f>
        <v>12</v>
      </c>
      <c r="I51" s="1335" t="s">
        <v>829</v>
      </c>
      <c r="J51" s="1328">
        <f>IF(J49="",J50,J49+J50-YEAR('数据-取费表'!B2))</f>
        <v>46</v>
      </c>
      <c r="K51" s="1336" t="s">
        <v>830</v>
      </c>
      <c r="L51" s="1337">
        <f ca="1">ROUND(-PV(INDIRECT("'数据-取费表'!h"&amp;$G$1),J51,(C39-C13*C76),0),0)</f>
        <v>-5718</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26.57</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26.57</v>
      </c>
      <c r="K53" s="3396" t="s">
        <v>837</v>
      </c>
      <c r="L53" s="3397"/>
      <c r="O53" s="1322" t="s">
        <v>409</v>
      </c>
      <c r="P53" s="1323" t="s">
        <v>838</v>
      </c>
      <c r="Q53" s="1324">
        <f ca="1">Q47+Q48</f>
        <v>7158</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0.32400000000000001</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9378</v>
      </c>
      <c r="D56" s="1349"/>
      <c r="E56" s="1350"/>
      <c r="F56" s="1342"/>
      <c r="I56" s="1351" t="s">
        <v>842</v>
      </c>
      <c r="J56" s="1352" t="s">
        <v>3455</v>
      </c>
      <c r="K56" s="1325" t="s">
        <v>843</v>
      </c>
      <c r="L56" s="1328" t="str">
        <f ca="1">IF(L48&lt;J51,"——",L48-J53)</f>
        <v>——</v>
      </c>
      <c r="O56" s="1322" t="s">
        <v>403</v>
      </c>
      <c r="P56" s="1323" t="s">
        <v>817</v>
      </c>
      <c r="Q56" s="1324">
        <f ca="1">C40+J29</f>
        <v>6445</v>
      </c>
      <c r="R56" s="1324" t="s">
        <v>818</v>
      </c>
    </row>
    <row r="57" spans="1:18" s="1289" customFormat="1" ht="24.6" thickBot="1">
      <c r="A57" s="1353"/>
      <c r="B57" s="893" t="s">
        <v>767</v>
      </c>
      <c r="C57" s="228">
        <f ca="1">C29</f>
        <v>12179</v>
      </c>
      <c r="D57" s="1354"/>
      <c r="E57" s="1355"/>
      <c r="F57" s="1356"/>
      <c r="I57" s="1357" t="s">
        <v>844</v>
      </c>
      <c r="J57" s="1358">
        <f ca="1">IF(OR(M47="住宅",J51&lt;L48,J56="是"),"——",J51-L48)</f>
        <v>19.43</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34</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4872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713</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3331</v>
      </c>
      <c r="E61" s="893" t="s">
        <v>712</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0</v>
      </c>
      <c r="D62" s="908" t="s">
        <v>731</v>
      </c>
      <c r="E62" s="893" t="s">
        <v>732</v>
      </c>
      <c r="F62" s="315">
        <f t="shared" si="0"/>
        <v>30</v>
      </c>
      <c r="I62" s="1364" t="s">
        <v>858</v>
      </c>
      <c r="J62" s="608" t="s">
        <v>859</v>
      </c>
      <c r="K62" s="608" t="s">
        <v>860</v>
      </c>
      <c r="L62" s="608" t="s">
        <v>861</v>
      </c>
      <c r="M62" s="1365" t="s">
        <v>862</v>
      </c>
      <c r="O62" s="1322" t="s">
        <v>409</v>
      </c>
      <c r="P62" s="1323" t="s">
        <v>838</v>
      </c>
      <c r="Q62" s="1324">
        <f ca="1">Q56+Q57</f>
        <v>6445</v>
      </c>
      <c r="R62" s="1324" t="s">
        <v>410</v>
      </c>
    </row>
    <row r="63" spans="1:18" s="1289" customFormat="1" ht="13.8" thickBot="1">
      <c r="A63" s="316"/>
      <c r="B63" s="899"/>
      <c r="C63" s="26"/>
      <c r="D63" s="909"/>
      <c r="E63" s="893" t="s">
        <v>736</v>
      </c>
      <c r="F63" s="293">
        <f t="shared" ca="1" si="0"/>
        <v>0</v>
      </c>
      <c r="I63" s="1364" t="s">
        <v>864</v>
      </c>
      <c r="J63" s="608">
        <v>70</v>
      </c>
      <c r="K63" s="608">
        <v>50</v>
      </c>
      <c r="L63" s="608">
        <v>80</v>
      </c>
      <c r="M63" s="1366">
        <v>0.02</v>
      </c>
      <c r="O63" s="1307" t="s">
        <v>865</v>
      </c>
      <c r="P63" s="1286"/>
      <c r="Q63" s="1286"/>
      <c r="R63" s="1286"/>
    </row>
    <row r="64" spans="1:18" s="1289" customFormat="1" ht="13.8" thickBot="1">
      <c r="A64" s="925" t="s">
        <v>402</v>
      </c>
      <c r="B64" s="893" t="s">
        <v>738</v>
      </c>
      <c r="C64" s="21">
        <f ca="1">ROUND(C57*F64,2)</f>
        <v>24.36</v>
      </c>
      <c r="D64" s="907" t="s">
        <v>771</v>
      </c>
      <c r="E64" s="893" t="s">
        <v>712</v>
      </c>
      <c r="F64" s="318">
        <f t="shared" ca="1" si="0"/>
        <v>2E-3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9.3800000000000008</v>
      </c>
      <c r="D65" s="907" t="s">
        <v>743</v>
      </c>
      <c r="E65" s="893" t="s">
        <v>712</v>
      </c>
      <c r="F65" s="319">
        <f t="shared" ca="1" si="0"/>
        <v>1E-3</v>
      </c>
      <c r="I65" s="1364" t="s">
        <v>867</v>
      </c>
      <c r="J65" s="608">
        <v>40</v>
      </c>
      <c r="K65" s="608">
        <v>30</v>
      </c>
      <c r="L65" s="608">
        <v>50</v>
      </c>
      <c r="M65" s="1366">
        <v>0.02</v>
      </c>
      <c r="O65" s="1322" t="s">
        <v>403</v>
      </c>
      <c r="P65" s="1323" t="s">
        <v>817</v>
      </c>
      <c r="Q65" s="1324">
        <f ca="1">C40+J29</f>
        <v>6445</v>
      </c>
      <c r="R65" s="1324" t="s">
        <v>818</v>
      </c>
    </row>
    <row r="66" spans="1:18" s="1289" customFormat="1" ht="16.2" thickBot="1">
      <c r="A66" s="925" t="s">
        <v>793</v>
      </c>
      <c r="B66" s="893" t="s">
        <v>728</v>
      </c>
      <c r="C66" s="21">
        <f ca="1">ROUND(C48*F66,2)</f>
        <v>0</v>
      </c>
      <c r="D66" s="907" t="s">
        <v>748</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-34</v>
      </c>
      <c r="D67" s="906" t="s">
        <v>753</v>
      </c>
      <c r="E67" s="911"/>
      <c r="F67" s="912"/>
      <c r="O67" s="1331" t="s">
        <v>405</v>
      </c>
      <c r="P67" s="1323" t="s">
        <v>850</v>
      </c>
      <c r="Q67" s="1367">
        <f ca="1">L51</f>
        <v>-5718</v>
      </c>
      <c r="R67" s="1324" t="s">
        <v>870</v>
      </c>
    </row>
    <row r="68" spans="1:18" s="1289" customFormat="1" ht="16.2" thickBot="1">
      <c r="A68" s="890" t="s">
        <v>395</v>
      </c>
      <c r="B68" s="891" t="s">
        <v>774</v>
      </c>
      <c r="C68" s="291">
        <f ca="1">ROUND(C67*(1-((1+F70)/(1+F68))^F69)/(F68-F70),0)</f>
        <v>-494</v>
      </c>
      <c r="D68" s="908" t="s">
        <v>758</v>
      </c>
      <c r="E68" s="893" t="s">
        <v>759</v>
      </c>
      <c r="F68" s="302">
        <f ca="1">F40</f>
        <v>0.05</v>
      </c>
      <c r="O68" s="1331" t="s">
        <v>406</v>
      </c>
      <c r="P68" s="1368" t="s">
        <v>871</v>
      </c>
      <c r="Q68" s="1324">
        <f ca="1">ROUND(Q69-Q70*Q71,0)</f>
        <v>-296</v>
      </c>
      <c r="R68" s="1324" t="s">
        <v>414</v>
      </c>
    </row>
    <row r="69" spans="1:18" s="1289" customFormat="1" ht="13.8" thickBot="1">
      <c r="A69" s="894"/>
      <c r="B69" s="895"/>
      <c r="C69" s="296"/>
      <c r="D69" s="913" t="s">
        <v>762</v>
      </c>
      <c r="E69" s="893" t="s">
        <v>763</v>
      </c>
      <c r="F69" s="322">
        <f ca="1">F41</f>
        <v>26.57</v>
      </c>
      <c r="O69" s="1331" t="s">
        <v>411</v>
      </c>
      <c r="P69" s="1368" t="s">
        <v>872</v>
      </c>
      <c r="Q69" s="1324">
        <f ca="1">C39</f>
        <v>360</v>
      </c>
      <c r="R69" s="1324" t="s">
        <v>818</v>
      </c>
    </row>
    <row r="70" spans="1:18" s="1289" customFormat="1" ht="13.8" thickBot="1">
      <c r="A70" s="897"/>
      <c r="B70" s="898"/>
      <c r="C70" s="300"/>
      <c r="D70" s="909"/>
      <c r="E70" s="893" t="s">
        <v>766</v>
      </c>
      <c r="F70" s="988"/>
      <c r="O70" s="1331" t="s">
        <v>412</v>
      </c>
      <c r="P70" s="1368" t="s">
        <v>873</v>
      </c>
      <c r="Q70" s="1324">
        <f ca="1">C13</f>
        <v>9378</v>
      </c>
      <c r="R70" s="1324" t="s">
        <v>818</v>
      </c>
    </row>
    <row r="71" spans="1:18" s="1289" customFormat="1" ht="13.8" thickBot="1">
      <c r="A71" s="914" t="s">
        <v>396</v>
      </c>
      <c r="B71" s="915" t="s">
        <v>776</v>
      </c>
      <c r="C71" s="325">
        <f ca="1">ROUND(C68*10000/F71,0)</f>
        <v>-299</v>
      </c>
      <c r="D71" s="916" t="s">
        <v>777</v>
      </c>
      <c r="E71" s="917" t="s">
        <v>778</v>
      </c>
      <c r="F71" s="328">
        <f ca="1">F43</f>
        <v>16503.550000000097</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656</v>
      </c>
      <c r="D75" s="1289"/>
      <c r="E75" s="1289"/>
      <c r="F75" s="1289"/>
      <c r="K75" s="1306"/>
      <c r="L75" s="1289"/>
      <c r="O75" s="1322" t="s">
        <v>409</v>
      </c>
      <c r="P75" s="1323" t="s">
        <v>838</v>
      </c>
      <c r="Q75" s="1324">
        <f ca="1">Q65+Q66</f>
        <v>6445</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-0.82200000000000006</v>
      </c>
    </row>
    <row r="80" spans="1:18">
      <c r="B80" s="329" t="s">
        <v>800</v>
      </c>
      <c r="C80" s="264">
        <f ca="1">ROUND(C75/C39,3)</f>
        <v>1.8220000000000001</v>
      </c>
    </row>
    <row r="81" spans="2:3">
      <c r="B81" s="260" t="s">
        <v>801</v>
      </c>
      <c r="C81" s="228"/>
    </row>
    <row r="82" spans="2:3">
      <c r="B82" s="263" t="s">
        <v>802</v>
      </c>
      <c r="C82" s="265">
        <f ca="1">1-C83</f>
        <v>-0.45500000000000007</v>
      </c>
    </row>
    <row r="83" spans="2:3">
      <c r="B83" s="263" t="s">
        <v>803</v>
      </c>
      <c r="C83" s="264">
        <f ca="1">ROUND(C13/C40,3)</f>
        <v>1.4550000000000001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估价范围判定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c r="E1" s="3121"/>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1"/>
      <c r="M2" s="2482"/>
      <c r="N2" s="2482"/>
      <c r="O2" s="2482"/>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21949.910000000098</v>
      </c>
      <c r="E3" s="851"/>
      <c r="F3" s="1740"/>
      <c r="G3" s="851"/>
      <c r="H3" s="851"/>
      <c r="I3" s="851"/>
      <c r="J3" s="851"/>
      <c r="K3" s="1737"/>
      <c r="L3" s="2481"/>
      <c r="M3" s="2482"/>
      <c r="N3" s="2482"/>
      <c r="O3" s="2482"/>
      <c r="P3" s="1738"/>
      <c r="Q3" s="1739"/>
      <c r="R3" s="1739"/>
      <c r="S3" s="1739"/>
      <c r="T3" s="1739"/>
      <c r="U3" s="1739"/>
      <c r="V3" s="1739"/>
      <c r="W3" s="1739"/>
      <c r="X3" s="1739"/>
      <c r="Y3" s="1739"/>
      <c r="Z3" s="1739"/>
      <c r="AA3" s="1739"/>
      <c r="AB3" s="1739"/>
      <c r="AC3" s="995"/>
    </row>
    <row r="4" spans="1:29" ht="14.4">
      <c r="A4" s="343" t="s">
        <v>1666</v>
      </c>
      <c r="B4" s="344"/>
      <c r="C4" s="3438" t="s">
        <v>1667</v>
      </c>
      <c r="D4" s="3439"/>
      <c r="E4" s="3440" t="s">
        <v>1668</v>
      </c>
      <c r="F4" s="3441"/>
      <c r="G4" s="3438" t="s">
        <v>1669</v>
      </c>
      <c r="H4" s="3439"/>
      <c r="I4" s="3438" t="s">
        <v>1670</v>
      </c>
      <c r="J4" s="3439"/>
      <c r="K4" s="1741" t="s">
        <v>1671</v>
      </c>
      <c r="L4" s="2483"/>
      <c r="M4" s="2484"/>
      <c r="N4" s="2484"/>
      <c r="O4" s="2484"/>
      <c r="P4" s="3442" t="s">
        <v>1672</v>
      </c>
      <c r="Q4" s="3443"/>
      <c r="R4" s="3425" t="s">
        <v>1668</v>
      </c>
      <c r="S4" s="3426"/>
      <c r="T4" s="3425" t="s">
        <v>1669</v>
      </c>
      <c r="U4" s="3426"/>
      <c r="V4" s="3450" t="s">
        <v>1670</v>
      </c>
      <c r="W4" s="3450"/>
      <c r="X4" s="1262"/>
      <c r="Y4" s="3425" t="s">
        <v>1672</v>
      </c>
      <c r="Z4" s="3426"/>
      <c r="AA4" s="3420" t="s">
        <v>1668</v>
      </c>
      <c r="AB4" s="3420" t="s">
        <v>1669</v>
      </c>
      <c r="AC4" s="3420" t="s">
        <v>1670</v>
      </c>
    </row>
    <row r="5" spans="1:29">
      <c r="A5" s="346"/>
      <c r="B5" s="347"/>
      <c r="C5" s="3431" t="s">
        <v>1673</v>
      </c>
      <c r="D5" s="3432"/>
      <c r="E5" s="3429" t="s">
        <v>1674</v>
      </c>
      <c r="F5" s="3430"/>
      <c r="G5" s="3431" t="s">
        <v>1675</v>
      </c>
      <c r="H5" s="3432"/>
      <c r="I5" s="3431" t="s">
        <v>1676</v>
      </c>
      <c r="J5" s="3432"/>
      <c r="K5" s="1742"/>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1742"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45762</v>
      </c>
      <c r="D7" s="353">
        <v>100</v>
      </c>
      <c r="E7" s="354"/>
      <c r="F7" s="355">
        <f>SUMIF(58:58,YEAR(E7)&amp;"-"&amp;MONTH(E7),59:59)</f>
        <v>0</v>
      </c>
      <c r="G7" s="354"/>
      <c r="H7" s="353">
        <f>SUMIF(58:58,YEAR(G7)&amp;"-"&amp;MONTH(G7),59:59)</f>
        <v>0</v>
      </c>
      <c r="I7" s="354"/>
      <c r="J7" s="353">
        <f>SUMIF(58:58,YEAR(I7)&amp;"-"&amp;MONTH(I7),59:59)</f>
        <v>0</v>
      </c>
      <c r="K7" s="1743"/>
      <c r="L7" s="2485"/>
      <c r="M7" s="2437"/>
      <c r="N7" s="2437"/>
      <c r="O7" s="2437"/>
      <c r="P7" s="3423" t="s">
        <v>1680</v>
      </c>
      <c r="Q7" s="3451"/>
      <c r="R7" s="662" t="s">
        <v>20</v>
      </c>
      <c r="S7" s="663">
        <f t="shared" ref="S7:S15" si="0">F7</f>
        <v>0</v>
      </c>
      <c r="T7" s="662" t="s">
        <v>20</v>
      </c>
      <c r="U7" s="663">
        <f t="shared" ref="U7:U15" si="1">H7</f>
        <v>0</v>
      </c>
      <c r="V7" s="662" t="s">
        <v>20</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5"/>
      <c r="M8" s="2437"/>
      <c r="N8" s="2437"/>
      <c r="O8" s="2437"/>
      <c r="P8" s="3423" t="s">
        <v>1683</v>
      </c>
      <c r="Q8" s="3424"/>
      <c r="R8" s="662" t="s">
        <v>20</v>
      </c>
      <c r="S8" s="663">
        <f t="shared" si="0"/>
        <v>100</v>
      </c>
      <c r="T8" s="662" t="s">
        <v>20</v>
      </c>
      <c r="U8" s="663">
        <f t="shared" si="1"/>
        <v>100</v>
      </c>
      <c r="V8" s="662" t="s">
        <v>20</v>
      </c>
      <c r="W8" s="663">
        <f t="shared" si="2"/>
        <v>100</v>
      </c>
      <c r="X8" s="664"/>
      <c r="Y8" s="3423" t="s">
        <v>1683</v>
      </c>
      <c r="Z8" s="3424"/>
      <c r="AA8" s="50">
        <f t="shared" ref="AA8:AA19" si="3">D8/F8</f>
        <v>1</v>
      </c>
      <c r="AB8" s="50">
        <f t="shared" ref="AB8:AB19" si="4">D8/H8</f>
        <v>1</v>
      </c>
      <c r="AC8" s="50">
        <f t="shared" ref="AC8:AC19" si="5">D8/J8</f>
        <v>1</v>
      </c>
    </row>
    <row r="9" spans="1:29" s="101"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5"/>
      <c r="M9" s="2437"/>
      <c r="N9" s="2437"/>
      <c r="O9" s="2437"/>
      <c r="P9" s="3437"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1743"/>
      <c r="L10" s="2486"/>
      <c r="M10" s="2487"/>
      <c r="N10" s="2487"/>
      <c r="O10" s="2487"/>
      <c r="P10" s="3437"/>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8"/>
      <c r="M11" s="2484"/>
      <c r="N11" s="2484"/>
      <c r="O11" s="2484"/>
      <c r="P11" s="3437"/>
      <c r="Q11" s="528" t="str">
        <f t="shared" si="6"/>
        <v>容积率</v>
      </c>
      <c r="R11" s="662" t="s">
        <v>18</v>
      </c>
      <c r="S11" s="663" t="e">
        <f t="shared" si="0"/>
        <v>#N/A</v>
      </c>
      <c r="T11" s="662" t="s">
        <v>18</v>
      </c>
      <c r="U11" s="663" t="e">
        <f t="shared" si="1"/>
        <v>#N/A</v>
      </c>
      <c r="V11" s="662" t="s">
        <v>18</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5"/>
      <c r="M12" s="2437"/>
      <c r="N12" s="2437"/>
      <c r="O12" s="2437"/>
      <c r="P12" s="3437"/>
      <c r="Q12" s="528">
        <f t="shared" si="6"/>
        <v>111</v>
      </c>
      <c r="R12" s="662" t="s">
        <v>18</v>
      </c>
      <c r="S12" s="663">
        <f t="shared" si="0"/>
        <v>100</v>
      </c>
      <c r="T12" s="662" t="s">
        <v>18</v>
      </c>
      <c r="U12" s="663">
        <f t="shared" si="1"/>
        <v>100</v>
      </c>
      <c r="V12" s="662" t="s">
        <v>18</v>
      </c>
      <c r="W12" s="663">
        <f t="shared" si="2"/>
        <v>100</v>
      </c>
      <c r="X12" s="664"/>
      <c r="Y12" s="334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9"/>
      <c r="M13" s="2484"/>
      <c r="N13" s="2484"/>
      <c r="O13" s="2484"/>
      <c r="P13" s="3437"/>
      <c r="Q13" s="528">
        <f t="shared" si="6"/>
        <v>111</v>
      </c>
      <c r="R13" s="662" t="s">
        <v>18</v>
      </c>
      <c r="S13" s="663">
        <f t="shared" si="0"/>
        <v>100</v>
      </c>
      <c r="T13" s="662" t="s">
        <v>18</v>
      </c>
      <c r="U13" s="663">
        <f t="shared" si="1"/>
        <v>100</v>
      </c>
      <c r="V13" s="662" t="s">
        <v>18</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9"/>
      <c r="M14" s="2484"/>
      <c r="N14" s="2484"/>
      <c r="O14" s="2484"/>
      <c r="P14" s="3437"/>
      <c r="Q14" s="528">
        <f t="shared" si="6"/>
        <v>111</v>
      </c>
      <c r="R14" s="662" t="s">
        <v>18</v>
      </c>
      <c r="S14" s="663">
        <f t="shared" si="0"/>
        <v>100</v>
      </c>
      <c r="T14" s="662" t="s">
        <v>18</v>
      </c>
      <c r="U14" s="663">
        <f t="shared" si="1"/>
        <v>100</v>
      </c>
      <c r="V14" s="662" t="s">
        <v>18</v>
      </c>
      <c r="W14" s="663">
        <f t="shared" si="2"/>
        <v>100</v>
      </c>
      <c r="X14" s="664"/>
      <c r="Y14" s="3348"/>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9"/>
      <c r="M15" s="2484"/>
      <c r="N15" s="2484"/>
      <c r="O15" s="2484"/>
      <c r="P15" s="3463"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9"/>
      <c r="M16" s="2484"/>
      <c r="N16" s="2484"/>
      <c r="O16" s="2484"/>
      <c r="P16" s="3464"/>
      <c r="Q16" s="1260"/>
      <c r="R16" s="665"/>
      <c r="S16" s="666"/>
      <c r="T16" s="665"/>
      <c r="U16" s="666"/>
      <c r="V16" s="665"/>
      <c r="W16" s="666"/>
      <c r="X16" s="1262"/>
      <c r="Y16" s="3457"/>
      <c r="Z16" s="1261"/>
      <c r="AA16" s="1261">
        <v>1</v>
      </c>
      <c r="AB16" s="1261">
        <v>1</v>
      </c>
      <c r="AC16" s="1261">
        <v>1</v>
      </c>
    </row>
    <row r="17" spans="1:29" ht="82.8">
      <c r="A17" s="365"/>
      <c r="B17" s="388" t="s">
        <v>1259</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89"/>
      <c r="M17" s="2484"/>
      <c r="N17" s="2484"/>
      <c r="O17" s="2484"/>
      <c r="P17" s="3464"/>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9"/>
      <c r="M18" s="2484"/>
      <c r="N18" s="2484"/>
      <c r="O18" s="2484"/>
      <c r="P18" s="3464"/>
      <c r="Q18" s="1260"/>
      <c r="R18" s="665"/>
      <c r="S18" s="666"/>
      <c r="T18" s="665"/>
      <c r="U18" s="666"/>
      <c r="V18" s="665"/>
      <c r="W18" s="666"/>
      <c r="X18" s="1262"/>
      <c r="Y18" s="3457"/>
      <c r="Z18" s="1261"/>
      <c r="AA18" s="1261">
        <v>1</v>
      </c>
      <c r="AB18" s="1261">
        <v>1</v>
      </c>
      <c r="AC18" s="1261">
        <v>1</v>
      </c>
    </row>
    <row r="19" spans="1:29" ht="41.4">
      <c r="A19" s="365"/>
      <c r="B19" s="388" t="s">
        <v>1258</v>
      </c>
      <c r="C19" s="1751" t="str">
        <f>估价对象房地状况!C7</f>
        <v>估价对象所在区域公共配套设施齐备情况较好</v>
      </c>
      <c r="D19" s="392">
        <v>100</v>
      </c>
      <c r="E19" s="396"/>
      <c r="F19" s="392">
        <f>SUMIF(80:80,E20,81:81)-SUMIF(80:80,C20,81:81)+100</f>
        <v>100</v>
      </c>
      <c r="G19" s="394"/>
      <c r="H19" s="387">
        <f>SUMIF(80:80,G20,81:81)-SUMIF(80:80,C20,81:81)+100</f>
        <v>100</v>
      </c>
      <c r="I19" s="394"/>
      <c r="J19" s="387">
        <f>SUMIF(80:80,I20,81:81)-SUMIF(80:80,C20,81:81)+100</f>
        <v>100</v>
      </c>
      <c r="K19" s="382"/>
      <c r="L19" s="2489"/>
      <c r="M19" s="2484"/>
      <c r="N19" s="2484"/>
      <c r="O19" s="2484"/>
      <c r="P19" s="3464"/>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9"/>
      <c r="M20" s="2484"/>
      <c r="N20" s="2484"/>
      <c r="O20" s="2484"/>
      <c r="P20" s="3464"/>
      <c r="Q20" s="1260"/>
      <c r="R20" s="665"/>
      <c r="S20" s="666"/>
      <c r="T20" s="665"/>
      <c r="U20" s="666"/>
      <c r="V20" s="665"/>
      <c r="W20" s="666"/>
      <c r="X20" s="1262"/>
      <c r="Y20" s="3457"/>
      <c r="Z20" s="1261"/>
      <c r="AA20" s="1261">
        <v>1</v>
      </c>
      <c r="AB20" s="1261">
        <v>1</v>
      </c>
      <c r="AC20" s="1261">
        <v>1</v>
      </c>
    </row>
    <row r="21" spans="1:29" ht="27.6">
      <c r="A21" s="365"/>
      <c r="B21" s="584" t="s">
        <v>1260</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64"/>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261">
        <f>D21/J21</f>
        <v>1</v>
      </c>
    </row>
    <row r="22" spans="1:29" ht="15">
      <c r="A22" s="365"/>
      <c r="B22" s="584"/>
      <c r="C22" s="1752"/>
      <c r="D22" s="385"/>
      <c r="E22" s="384"/>
      <c r="F22" s="385"/>
      <c r="G22" s="1755"/>
      <c r="H22" s="385"/>
      <c r="I22" s="384"/>
      <c r="J22" s="385"/>
      <c r="K22" s="1756"/>
      <c r="L22" s="2489"/>
      <c r="M22" s="2484"/>
      <c r="N22" s="2484"/>
      <c r="O22" s="2484"/>
      <c r="P22" s="3464"/>
      <c r="Q22" s="1260"/>
      <c r="R22" s="665"/>
      <c r="S22" s="666"/>
      <c r="T22" s="665"/>
      <c r="U22" s="666"/>
      <c r="V22" s="665"/>
      <c r="W22" s="666"/>
      <c r="X22" s="1262"/>
      <c r="Y22" s="3457"/>
      <c r="Z22" s="1261"/>
      <c r="AA22" s="1261">
        <v>1</v>
      </c>
      <c r="AB22" s="1261">
        <v>1</v>
      </c>
      <c r="AC22" s="1261">
        <v>1</v>
      </c>
    </row>
    <row r="23" spans="1:29" ht="55.2">
      <c r="A23" s="365"/>
      <c r="B23" s="388" t="s">
        <v>1261</v>
      </c>
      <c r="C23" s="1751" t="str">
        <f>估价对象房地状况!C9</f>
        <v>区域自然环境：；人文环境；综合评价环境状况较好</v>
      </c>
      <c r="D23" s="387">
        <v>100</v>
      </c>
      <c r="E23" s="391"/>
      <c r="F23" s="387">
        <f>SUMIF(84:84,E24,85:85)-SUMIF(84:84,C24,85:85)+100</f>
        <v>100</v>
      </c>
      <c r="G23" s="389"/>
      <c r="H23" s="387">
        <f>SUMIF(84:84,G24,85:85)-SUMIF(84:84,C24,85:85)+100</f>
        <v>100</v>
      </c>
      <c r="I23" s="389"/>
      <c r="J23" s="387">
        <f>SUMIF(84:84,I24,85:85)-SUMIF(84:84,C24,85:85)+100</f>
        <v>100</v>
      </c>
      <c r="K23" s="382"/>
      <c r="L23" s="2489"/>
      <c r="M23" s="2484"/>
      <c r="N23" s="2484"/>
      <c r="O23" s="2484"/>
      <c r="P23" s="3464"/>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9"/>
      <c r="M24" s="2484"/>
      <c r="N24" s="2484"/>
      <c r="O24" s="2484"/>
      <c r="P24" s="3464"/>
      <c r="Q24" s="1260"/>
      <c r="R24" s="665"/>
      <c r="S24" s="666"/>
      <c r="T24" s="665"/>
      <c r="U24" s="666"/>
      <c r="V24" s="665"/>
      <c r="W24" s="666"/>
      <c r="X24" s="1262"/>
      <c r="Y24" s="3457"/>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9"/>
      <c r="M25" s="2484"/>
      <c r="N25" s="2484"/>
      <c r="O25" s="2484"/>
      <c r="P25" s="3464"/>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457"/>
      <c r="Z25" s="1261" t="str">
        <f>Q25</f>
        <v>楼层-1</v>
      </c>
      <c r="AA25" s="1261">
        <f t="shared" ref="AA25:AA46" si="12">D25/F25</f>
        <v>1</v>
      </c>
      <c r="AB25" s="1261">
        <f t="shared" ref="AB25:AB46" si="13">D25/H25</f>
        <v>1</v>
      </c>
      <c r="AC25" s="1261">
        <f t="shared" ref="AC25:AC46" si="14">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9"/>
      <c r="M26" s="2484"/>
      <c r="N26" s="2484"/>
      <c r="O26" s="2484"/>
      <c r="P26" s="3464"/>
      <c r="Q26" s="1260" t="str">
        <f t="shared" si="8"/>
        <v>朝向</v>
      </c>
      <c r="R26" s="665" t="s">
        <v>18</v>
      </c>
      <c r="S26" s="666">
        <f t="shared" si="9"/>
        <v>100</v>
      </c>
      <c r="T26" s="665" t="s">
        <v>18</v>
      </c>
      <c r="U26" s="666">
        <f t="shared" si="10"/>
        <v>100</v>
      </c>
      <c r="V26" s="665" t="s">
        <v>18</v>
      </c>
      <c r="W26" s="666">
        <f t="shared" si="11"/>
        <v>100</v>
      </c>
      <c r="X26" s="1262"/>
      <c r="Y26" s="3457"/>
      <c r="Z26" s="1261" t="str">
        <f>Q26</f>
        <v>朝向</v>
      </c>
      <c r="AA26" s="1261">
        <f t="shared" si="12"/>
        <v>1</v>
      </c>
      <c r="AB26" s="1261">
        <f t="shared" si="13"/>
        <v>1</v>
      </c>
      <c r="AC26" s="1261">
        <f t="shared" si="14"/>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5"/>
      <c r="M27" s="2437"/>
      <c r="N27" s="2437"/>
      <c r="O27" s="2437"/>
      <c r="P27" s="3464"/>
      <c r="Q27" s="528">
        <f t="shared" si="8"/>
        <v>111</v>
      </c>
      <c r="R27" s="662" t="s">
        <v>18</v>
      </c>
      <c r="S27" s="663">
        <f t="shared" si="9"/>
        <v>100</v>
      </c>
      <c r="T27" s="662" t="s">
        <v>18</v>
      </c>
      <c r="U27" s="663">
        <f t="shared" si="10"/>
        <v>100</v>
      </c>
      <c r="V27" s="662" t="s">
        <v>18</v>
      </c>
      <c r="W27" s="663">
        <f t="shared" si="11"/>
        <v>100</v>
      </c>
      <c r="X27" s="664"/>
      <c r="Y27" s="3457"/>
      <c r="Z27" s="50">
        <f>Q27</f>
        <v>111</v>
      </c>
      <c r="AA27" s="1261">
        <f t="shared" si="12"/>
        <v>1</v>
      </c>
      <c r="AB27" s="1261">
        <f t="shared" si="13"/>
        <v>1</v>
      </c>
      <c r="AC27" s="1261">
        <f t="shared" si="14"/>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9"/>
      <c r="M28" s="2484"/>
      <c r="N28" s="2484"/>
      <c r="O28" s="2484"/>
      <c r="P28" s="3464"/>
      <c r="Q28" s="1260">
        <f t="shared" si="8"/>
        <v>111</v>
      </c>
      <c r="R28" s="665" t="s">
        <v>18</v>
      </c>
      <c r="S28" s="666">
        <f t="shared" si="9"/>
        <v>100</v>
      </c>
      <c r="T28" s="665" t="s">
        <v>18</v>
      </c>
      <c r="U28" s="666">
        <f t="shared" si="10"/>
        <v>100</v>
      </c>
      <c r="V28" s="665" t="s">
        <v>18</v>
      </c>
      <c r="W28" s="666">
        <f t="shared" si="11"/>
        <v>100</v>
      </c>
      <c r="X28" s="1262"/>
      <c r="Y28" s="3457"/>
      <c r="Z28" s="1261">
        <f t="shared" ref="Z28:Z46" si="15">Q28</f>
        <v>111</v>
      </c>
      <c r="AA28" s="1261">
        <f t="shared" si="12"/>
        <v>1</v>
      </c>
      <c r="AB28" s="1261">
        <f t="shared" si="13"/>
        <v>1</v>
      </c>
      <c r="AC28" s="1261">
        <f t="shared" si="14"/>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9"/>
      <c r="M29" s="2484"/>
      <c r="N29" s="2484"/>
      <c r="O29" s="2484"/>
      <c r="P29" s="3464"/>
      <c r="Q29" s="1260">
        <f t="shared" si="8"/>
        <v>111</v>
      </c>
      <c r="R29" s="665" t="s">
        <v>18</v>
      </c>
      <c r="S29" s="666">
        <f t="shared" si="9"/>
        <v>100</v>
      </c>
      <c r="T29" s="665" t="s">
        <v>18</v>
      </c>
      <c r="U29" s="666">
        <f t="shared" si="10"/>
        <v>100</v>
      </c>
      <c r="V29" s="665" t="s">
        <v>18</v>
      </c>
      <c r="W29" s="666">
        <f t="shared" si="11"/>
        <v>100</v>
      </c>
      <c r="X29" s="1262"/>
      <c r="Y29" s="3457"/>
      <c r="Z29" s="1261">
        <f t="shared" si="15"/>
        <v>111</v>
      </c>
      <c r="AA29" s="1261">
        <f t="shared" si="12"/>
        <v>1</v>
      </c>
      <c r="AB29" s="1261">
        <f t="shared" si="13"/>
        <v>1</v>
      </c>
      <c r="AC29" s="1261">
        <f t="shared" si="14"/>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9"/>
      <c r="M30" s="2484"/>
      <c r="N30" s="2484"/>
      <c r="O30" s="2484"/>
      <c r="P30" s="3464"/>
      <c r="Q30" s="1260">
        <f t="shared" si="8"/>
        <v>111</v>
      </c>
      <c r="R30" s="665" t="s">
        <v>18</v>
      </c>
      <c r="S30" s="666">
        <f t="shared" si="9"/>
        <v>100</v>
      </c>
      <c r="T30" s="665" t="s">
        <v>18</v>
      </c>
      <c r="U30" s="666">
        <f t="shared" si="10"/>
        <v>100</v>
      </c>
      <c r="V30" s="665" t="s">
        <v>18</v>
      </c>
      <c r="W30" s="666">
        <f t="shared" si="11"/>
        <v>100</v>
      </c>
      <c r="X30" s="1262"/>
      <c r="Y30" s="3457"/>
      <c r="Z30" s="1261">
        <f t="shared" si="15"/>
        <v>111</v>
      </c>
      <c r="AA30" s="1261">
        <f t="shared" si="12"/>
        <v>1</v>
      </c>
      <c r="AB30" s="1261">
        <f t="shared" si="13"/>
        <v>1</v>
      </c>
      <c r="AC30" s="1261">
        <f t="shared" si="14"/>
        <v>1</v>
      </c>
    </row>
    <row r="31" spans="1:29" ht="15.6"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9"/>
      <c r="M31" s="2484"/>
      <c r="N31" s="2484"/>
      <c r="O31" s="2484"/>
      <c r="P31" s="3464"/>
      <c r="Q31" s="1260">
        <f t="shared" si="8"/>
        <v>111</v>
      </c>
      <c r="R31" s="665" t="s">
        <v>18</v>
      </c>
      <c r="S31" s="666">
        <f t="shared" si="9"/>
        <v>100</v>
      </c>
      <c r="T31" s="665" t="s">
        <v>18</v>
      </c>
      <c r="U31" s="666">
        <f t="shared" si="10"/>
        <v>100</v>
      </c>
      <c r="V31" s="665" t="s">
        <v>18</v>
      </c>
      <c r="W31" s="666">
        <f t="shared" si="11"/>
        <v>100</v>
      </c>
      <c r="X31" s="1262"/>
      <c r="Y31" s="3457"/>
      <c r="Z31" s="1261">
        <f t="shared" si="15"/>
        <v>111</v>
      </c>
      <c r="AA31" s="1261">
        <f t="shared" si="12"/>
        <v>1</v>
      </c>
      <c r="AB31" s="1261">
        <f t="shared" si="13"/>
        <v>1</v>
      </c>
      <c r="AC31" s="1261">
        <f t="shared" si="14"/>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9"/>
      <c r="M32" s="2484"/>
      <c r="N32" s="2484"/>
      <c r="O32" s="2484"/>
      <c r="P32" s="3458" t="s">
        <v>1696</v>
      </c>
      <c r="Q32" s="1260" t="str">
        <f t="shared" si="8"/>
        <v>建筑类型</v>
      </c>
      <c r="R32" s="665" t="s">
        <v>18</v>
      </c>
      <c r="S32" s="666">
        <f t="shared" si="9"/>
        <v>100</v>
      </c>
      <c r="T32" s="665" t="s">
        <v>18</v>
      </c>
      <c r="U32" s="666">
        <f t="shared" si="10"/>
        <v>100</v>
      </c>
      <c r="V32" s="665" t="s">
        <v>18</v>
      </c>
      <c r="W32" s="666">
        <f t="shared" si="11"/>
        <v>100</v>
      </c>
      <c r="X32" s="1262"/>
      <c r="Y32" s="3461" t="s">
        <v>1696</v>
      </c>
      <c r="Z32" s="1261" t="str">
        <f t="shared" si="15"/>
        <v>建筑类型</v>
      </c>
      <c r="AA32" s="1261">
        <f t="shared" si="12"/>
        <v>1</v>
      </c>
      <c r="AB32" s="1261">
        <f t="shared" si="13"/>
        <v>1</v>
      </c>
      <c r="AC32" s="1261">
        <f t="shared" si="14"/>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8"/>
      <c r="M33" s="2490"/>
      <c r="N33" s="2490"/>
      <c r="O33" s="2490"/>
      <c r="P33" s="3459"/>
      <c r="Q33" s="529" t="str">
        <f t="shared" si="8"/>
        <v>项目建筑规模</v>
      </c>
      <c r="R33" s="667" t="s">
        <v>18</v>
      </c>
      <c r="S33" s="668" t="e">
        <f t="shared" si="9"/>
        <v>#N/A</v>
      </c>
      <c r="T33" s="667" t="s">
        <v>18</v>
      </c>
      <c r="U33" s="668" t="e">
        <f t="shared" si="10"/>
        <v>#N/A</v>
      </c>
      <c r="V33" s="667" t="s">
        <v>18</v>
      </c>
      <c r="W33" s="668" t="e">
        <f t="shared" si="11"/>
        <v>#N/A</v>
      </c>
      <c r="X33" s="669"/>
      <c r="Y33" s="3461"/>
      <c r="Z33" s="670" t="str">
        <f t="shared" si="15"/>
        <v>项目建筑规模</v>
      </c>
      <c r="AA33" s="1261" t="e">
        <f t="shared" si="12"/>
        <v>#N/A</v>
      </c>
      <c r="AB33" s="1261" t="e">
        <f t="shared" si="13"/>
        <v>#N/A</v>
      </c>
      <c r="AC33" s="1261" t="e">
        <f t="shared" si="14"/>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9"/>
      <c r="M34" s="2484"/>
      <c r="N34" s="2484"/>
      <c r="O34" s="2484"/>
      <c r="P34" s="3459"/>
      <c r="Q34" s="1260" t="str">
        <f t="shared" si="8"/>
        <v>建筑结构</v>
      </c>
      <c r="R34" s="665" t="s">
        <v>18</v>
      </c>
      <c r="S34" s="666">
        <f t="shared" si="9"/>
        <v>100</v>
      </c>
      <c r="T34" s="665" t="s">
        <v>18</v>
      </c>
      <c r="U34" s="666">
        <f t="shared" si="10"/>
        <v>100</v>
      </c>
      <c r="V34" s="665" t="s">
        <v>18</v>
      </c>
      <c r="W34" s="666">
        <f t="shared" si="11"/>
        <v>100</v>
      </c>
      <c r="X34" s="1262"/>
      <c r="Y34" s="3461"/>
      <c r="Z34" s="1261" t="str">
        <f t="shared" si="15"/>
        <v>建筑结构</v>
      </c>
      <c r="AA34" s="1261">
        <f t="shared" si="12"/>
        <v>1</v>
      </c>
      <c r="AB34" s="1261">
        <f t="shared" si="13"/>
        <v>1</v>
      </c>
      <c r="AC34" s="1261">
        <f t="shared" si="14"/>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9"/>
      <c r="M35" s="2484"/>
      <c r="N35" s="2484"/>
      <c r="O35" s="2484"/>
      <c r="P35" s="3459"/>
      <c r="Q35" s="1260" t="str">
        <f t="shared" si="8"/>
        <v>建筑品质</v>
      </c>
      <c r="R35" s="665" t="s">
        <v>18</v>
      </c>
      <c r="S35" s="666">
        <f t="shared" si="9"/>
        <v>100</v>
      </c>
      <c r="T35" s="665" t="s">
        <v>18</v>
      </c>
      <c r="U35" s="666">
        <f t="shared" si="10"/>
        <v>100</v>
      </c>
      <c r="V35" s="665" t="s">
        <v>18</v>
      </c>
      <c r="W35" s="666">
        <f t="shared" si="11"/>
        <v>100</v>
      </c>
      <c r="X35" s="1262"/>
      <c r="Y35" s="3461"/>
      <c r="Z35" s="1261" t="str">
        <f t="shared" si="15"/>
        <v>建筑品质</v>
      </c>
      <c r="AA35" s="1261">
        <f t="shared" si="12"/>
        <v>1</v>
      </c>
      <c r="AB35" s="1261">
        <f t="shared" si="13"/>
        <v>1</v>
      </c>
      <c r="AC35" s="1261">
        <f t="shared" si="14"/>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9"/>
      <c r="M36" s="2484"/>
      <c r="N36" s="2484"/>
      <c r="O36" s="2484"/>
      <c r="P36" s="3459"/>
      <c r="Q36" s="1260" t="str">
        <f t="shared" si="8"/>
        <v>公共部分装修</v>
      </c>
      <c r="R36" s="665" t="s">
        <v>18</v>
      </c>
      <c r="S36" s="666">
        <f t="shared" si="9"/>
        <v>100</v>
      </c>
      <c r="T36" s="665" t="s">
        <v>18</v>
      </c>
      <c r="U36" s="666">
        <f t="shared" si="10"/>
        <v>100</v>
      </c>
      <c r="V36" s="665" t="s">
        <v>18</v>
      </c>
      <c r="W36" s="666">
        <f t="shared" si="11"/>
        <v>100</v>
      </c>
      <c r="X36" s="1262"/>
      <c r="Y36" s="3461"/>
      <c r="Z36" s="1261" t="str">
        <f t="shared" si="15"/>
        <v>公共部分装修</v>
      </c>
      <c r="AA36" s="1261">
        <f t="shared" si="12"/>
        <v>1</v>
      </c>
      <c r="AB36" s="1261">
        <f t="shared" si="13"/>
        <v>1</v>
      </c>
      <c r="AC36" s="1261">
        <f t="shared" si="14"/>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5"/>
      <c r="M37" s="2437"/>
      <c r="N37" s="2437"/>
      <c r="O37" s="2437"/>
      <c r="P37" s="3459"/>
      <c r="Q37" s="528" t="str">
        <f t="shared" si="8"/>
        <v>成新度</v>
      </c>
      <c r="R37" s="662" t="s">
        <v>18</v>
      </c>
      <c r="S37" s="663" t="e">
        <f t="shared" si="9"/>
        <v>#N/A</v>
      </c>
      <c r="T37" s="662" t="s">
        <v>18</v>
      </c>
      <c r="U37" s="663" t="e">
        <f t="shared" si="10"/>
        <v>#N/A</v>
      </c>
      <c r="V37" s="662" t="s">
        <v>18</v>
      </c>
      <c r="W37" s="663" t="e">
        <f t="shared" si="11"/>
        <v>#N/A</v>
      </c>
      <c r="X37" s="664"/>
      <c r="Y37" s="3461"/>
      <c r="Z37" s="50" t="str">
        <f t="shared" si="15"/>
        <v>成新度</v>
      </c>
      <c r="AA37" s="50" t="e">
        <f t="shared" si="12"/>
        <v>#N/A</v>
      </c>
      <c r="AB37" s="50" t="e">
        <f t="shared" si="13"/>
        <v>#N/A</v>
      </c>
      <c r="AC37" s="50" t="e">
        <f t="shared" si="14"/>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9"/>
      <c r="M38" s="2484"/>
      <c r="N38" s="2484"/>
      <c r="O38" s="2484"/>
      <c r="P38" s="3459" t="s">
        <v>1696</v>
      </c>
      <c r="Q38" s="1260" t="str">
        <f t="shared" si="8"/>
        <v>物业管理</v>
      </c>
      <c r="R38" s="665" t="s">
        <v>18</v>
      </c>
      <c r="S38" s="666">
        <f t="shared" si="9"/>
        <v>100</v>
      </c>
      <c r="T38" s="665" t="s">
        <v>18</v>
      </c>
      <c r="U38" s="666">
        <f t="shared" si="10"/>
        <v>100</v>
      </c>
      <c r="V38" s="665" t="s">
        <v>18</v>
      </c>
      <c r="W38" s="666">
        <f t="shared" si="11"/>
        <v>100</v>
      </c>
      <c r="X38" s="1262"/>
      <c r="Y38" s="3461" t="s">
        <v>1696</v>
      </c>
      <c r="Z38" s="1261" t="str">
        <f t="shared" si="15"/>
        <v>物业管理</v>
      </c>
      <c r="AA38" s="1261">
        <f t="shared" si="12"/>
        <v>1</v>
      </c>
      <c r="AB38" s="1261">
        <f t="shared" si="13"/>
        <v>1</v>
      </c>
      <c r="AC38" s="1261">
        <f t="shared" si="14"/>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9"/>
      <c r="M39" s="2484"/>
      <c r="N39" s="2484"/>
      <c r="O39" s="2484"/>
      <c r="P39" s="3459"/>
      <c r="Q39" s="1260" t="str">
        <f t="shared" si="8"/>
        <v>市政基础设施</v>
      </c>
      <c r="R39" s="665" t="s">
        <v>18</v>
      </c>
      <c r="S39" s="666">
        <f t="shared" si="9"/>
        <v>100</v>
      </c>
      <c r="T39" s="665" t="s">
        <v>18</v>
      </c>
      <c r="U39" s="666">
        <f t="shared" si="10"/>
        <v>100</v>
      </c>
      <c r="V39" s="665" t="s">
        <v>18</v>
      </c>
      <c r="W39" s="666">
        <f t="shared" si="11"/>
        <v>100</v>
      </c>
      <c r="X39" s="1262"/>
      <c r="Y39" s="3461"/>
      <c r="Z39" s="1261" t="str">
        <f t="shared" si="15"/>
        <v>市政基础设施</v>
      </c>
      <c r="AA39" s="1261">
        <f t="shared" si="12"/>
        <v>1</v>
      </c>
      <c r="AB39" s="1261">
        <f t="shared" si="13"/>
        <v>1</v>
      </c>
      <c r="AC39" s="1261">
        <f t="shared" si="14"/>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9"/>
      <c r="M40" s="2484"/>
      <c r="N40" s="2484"/>
      <c r="O40" s="2484"/>
      <c r="P40" s="3459"/>
      <c r="Q40" s="1260" t="str">
        <f t="shared" si="8"/>
        <v>房型</v>
      </c>
      <c r="R40" s="665" t="s">
        <v>18</v>
      </c>
      <c r="S40" s="666">
        <f t="shared" si="9"/>
        <v>100</v>
      </c>
      <c r="T40" s="665" t="s">
        <v>18</v>
      </c>
      <c r="U40" s="666">
        <f t="shared" si="10"/>
        <v>100</v>
      </c>
      <c r="V40" s="665" t="s">
        <v>18</v>
      </c>
      <c r="W40" s="666">
        <f t="shared" si="11"/>
        <v>100</v>
      </c>
      <c r="X40" s="1262"/>
      <c r="Y40" s="3461"/>
      <c r="Z40" s="1261" t="str">
        <f t="shared" si="15"/>
        <v>房型</v>
      </c>
      <c r="AA40" s="1261">
        <f t="shared" si="12"/>
        <v>1</v>
      </c>
      <c r="AB40" s="1261">
        <f t="shared" si="13"/>
        <v>1</v>
      </c>
      <c r="AC40" s="1261">
        <f t="shared" si="14"/>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8"/>
      <c r="M41" s="2490"/>
      <c r="N41" s="2490"/>
      <c r="O41" s="2490"/>
      <c r="P41" s="3459"/>
      <c r="Q41" s="529" t="str">
        <f t="shared" si="8"/>
        <v>单套/主力户型建筑面积</v>
      </c>
      <c r="R41" s="667" t="s">
        <v>18</v>
      </c>
      <c r="S41" s="668">
        <f t="shared" si="9"/>
        <v>100</v>
      </c>
      <c r="T41" s="667" t="s">
        <v>18</v>
      </c>
      <c r="U41" s="668">
        <f t="shared" si="10"/>
        <v>100</v>
      </c>
      <c r="V41" s="667" t="s">
        <v>18</v>
      </c>
      <c r="W41" s="668">
        <f t="shared" si="11"/>
        <v>100</v>
      </c>
      <c r="X41" s="669"/>
      <c r="Y41" s="3461"/>
      <c r="Z41" s="670" t="str">
        <f t="shared" si="15"/>
        <v>单套/主力户型建筑面积</v>
      </c>
      <c r="AA41" s="1261">
        <f t="shared" si="12"/>
        <v>1</v>
      </c>
      <c r="AB41" s="1261">
        <f t="shared" si="13"/>
        <v>1</v>
      </c>
      <c r="AC41" s="1261">
        <f t="shared" si="14"/>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9"/>
      <c r="M42" s="2484"/>
      <c r="N42" s="2484"/>
      <c r="O42" s="2484"/>
      <c r="P42" s="3459"/>
      <c r="Q42" s="1260" t="str">
        <f t="shared" si="8"/>
        <v>内部装修</v>
      </c>
      <c r="R42" s="665" t="s">
        <v>18</v>
      </c>
      <c r="S42" s="666">
        <f t="shared" si="9"/>
        <v>100</v>
      </c>
      <c r="T42" s="665" t="s">
        <v>18</v>
      </c>
      <c r="U42" s="666">
        <f t="shared" si="10"/>
        <v>100</v>
      </c>
      <c r="V42" s="665" t="s">
        <v>18</v>
      </c>
      <c r="W42" s="666">
        <f t="shared" si="11"/>
        <v>100</v>
      </c>
      <c r="X42" s="1262"/>
      <c r="Y42" s="3461"/>
      <c r="Z42" s="1261" t="str">
        <f t="shared" si="15"/>
        <v>内部装修</v>
      </c>
      <c r="AA42" s="1261">
        <f t="shared" si="12"/>
        <v>1</v>
      </c>
      <c r="AB42" s="1261">
        <f t="shared" si="13"/>
        <v>1</v>
      </c>
      <c r="AC42" s="1261">
        <f t="shared" si="14"/>
        <v>1</v>
      </c>
    </row>
    <row r="43" spans="1:29" ht="28.8">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9"/>
      <c r="M43" s="2484"/>
      <c r="N43" s="2484"/>
      <c r="O43" s="2484"/>
      <c r="P43" s="3459"/>
      <c r="Q43" s="1260" t="str">
        <f t="shared" si="8"/>
        <v>内部装修维护情况</v>
      </c>
      <c r="R43" s="665" t="s">
        <v>18</v>
      </c>
      <c r="S43" s="666">
        <f t="shared" si="9"/>
        <v>100</v>
      </c>
      <c r="T43" s="665" t="s">
        <v>18</v>
      </c>
      <c r="U43" s="666">
        <f t="shared" si="10"/>
        <v>100</v>
      </c>
      <c r="V43" s="665" t="s">
        <v>18</v>
      </c>
      <c r="W43" s="666">
        <f t="shared" si="11"/>
        <v>100</v>
      </c>
      <c r="X43" s="1262"/>
      <c r="Y43" s="3461"/>
      <c r="Z43" s="1261" t="str">
        <f t="shared" si="15"/>
        <v>内部装修维护情况</v>
      </c>
      <c r="AA43" s="1261">
        <f t="shared" si="12"/>
        <v>1</v>
      </c>
      <c r="AB43" s="1261">
        <f t="shared" si="13"/>
        <v>1</v>
      </c>
      <c r="AC43" s="1261">
        <f t="shared" si="14"/>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5"/>
      <c r="M44" s="2437"/>
      <c r="N44" s="2437"/>
      <c r="O44" s="2437"/>
      <c r="P44" s="3459"/>
      <c r="Q44" s="528">
        <f t="shared" si="8"/>
        <v>111</v>
      </c>
      <c r="R44" s="662" t="s">
        <v>18</v>
      </c>
      <c r="S44" s="663">
        <f t="shared" si="9"/>
        <v>100</v>
      </c>
      <c r="T44" s="662" t="s">
        <v>18</v>
      </c>
      <c r="U44" s="663">
        <f t="shared" si="10"/>
        <v>100</v>
      </c>
      <c r="V44" s="662" t="s">
        <v>18</v>
      </c>
      <c r="W44" s="663">
        <f t="shared" si="11"/>
        <v>100</v>
      </c>
      <c r="X44" s="664"/>
      <c r="Y44" s="3461"/>
      <c r="Z44" s="50">
        <f t="shared" si="15"/>
        <v>111</v>
      </c>
      <c r="AA44" s="50">
        <f t="shared" si="12"/>
        <v>1</v>
      </c>
      <c r="AB44" s="50">
        <f t="shared" si="13"/>
        <v>1</v>
      </c>
      <c r="AC44" s="50">
        <f t="shared" si="14"/>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9"/>
      <c r="M45" s="2484"/>
      <c r="N45" s="2484"/>
      <c r="O45" s="2484"/>
      <c r="P45" s="3459"/>
      <c r="Q45" s="1260">
        <f t="shared" si="8"/>
        <v>111</v>
      </c>
      <c r="R45" s="665" t="s">
        <v>18</v>
      </c>
      <c r="S45" s="666">
        <f t="shared" si="9"/>
        <v>100</v>
      </c>
      <c r="T45" s="665" t="s">
        <v>18</v>
      </c>
      <c r="U45" s="666">
        <f t="shared" si="10"/>
        <v>100</v>
      </c>
      <c r="V45" s="665" t="s">
        <v>18</v>
      </c>
      <c r="W45" s="666">
        <f t="shared" si="11"/>
        <v>100</v>
      </c>
      <c r="X45" s="1262"/>
      <c r="Y45" s="3461"/>
      <c r="Z45" s="1261">
        <f t="shared" si="15"/>
        <v>111</v>
      </c>
      <c r="AA45" s="1261">
        <f t="shared" si="12"/>
        <v>1</v>
      </c>
      <c r="AB45" s="1261">
        <f t="shared" si="13"/>
        <v>1</v>
      </c>
      <c r="AC45" s="1261">
        <f t="shared" si="14"/>
        <v>1</v>
      </c>
    </row>
    <row r="46" spans="1:29" ht="15.6"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9"/>
      <c r="M46" s="2484"/>
      <c r="N46" s="2484"/>
      <c r="O46" s="2484"/>
      <c r="P46" s="3460"/>
      <c r="Q46" s="1260">
        <f t="shared" si="8"/>
        <v>111</v>
      </c>
      <c r="R46" s="665" t="s">
        <v>17</v>
      </c>
      <c r="S46" s="666">
        <f t="shared" si="9"/>
        <v>100</v>
      </c>
      <c r="T46" s="665" t="s">
        <v>17</v>
      </c>
      <c r="U46" s="666">
        <f t="shared" si="10"/>
        <v>100</v>
      </c>
      <c r="V46" s="665" t="s">
        <v>17</v>
      </c>
      <c r="W46" s="666">
        <f t="shared" si="11"/>
        <v>100</v>
      </c>
      <c r="X46" s="1262"/>
      <c r="Y46" s="3462"/>
      <c r="Z46" s="1261">
        <f t="shared" si="15"/>
        <v>111</v>
      </c>
      <c r="AA46" s="1261">
        <f t="shared" si="12"/>
        <v>1</v>
      </c>
      <c r="AB46" s="1261">
        <f t="shared" si="13"/>
        <v>1</v>
      </c>
      <c r="AC46" s="1261">
        <f t="shared" si="14"/>
        <v>1</v>
      </c>
    </row>
    <row r="47" spans="1:29" ht="14.4">
      <c r="A47" s="414" t="s">
        <v>1708</v>
      </c>
      <c r="B47" s="415"/>
      <c r="C47" s="1078" t="s">
        <v>16</v>
      </c>
      <c r="D47" s="416"/>
      <c r="E47" s="417"/>
      <c r="F47" s="418"/>
      <c r="G47" s="419"/>
      <c r="H47" s="420"/>
      <c r="I47" s="417"/>
      <c r="J47" s="420"/>
      <c r="K47" s="1764"/>
      <c r="L47" s="2491"/>
      <c r="M47" s="2484"/>
      <c r="N47" s="2484"/>
      <c r="O47" s="2484"/>
      <c r="P47" s="3455" t="str">
        <f>A47</f>
        <v>成交单价（元/平方米）</v>
      </c>
      <c r="Q47" s="3455"/>
      <c r="R47" s="3450">
        <f>E47</f>
        <v>0</v>
      </c>
      <c r="S47" s="3450"/>
      <c r="T47" s="3450">
        <f>G47</f>
        <v>0</v>
      </c>
      <c r="U47" s="3450"/>
      <c r="V47" s="3450">
        <f>I47</f>
        <v>0</v>
      </c>
      <c r="W47" s="3450"/>
      <c r="X47" s="383"/>
      <c r="Y47" s="671"/>
      <c r="Z47" s="383"/>
      <c r="AA47" s="383"/>
      <c r="AB47" s="383"/>
      <c r="AC47" s="383"/>
    </row>
    <row r="48" spans="1:29" ht="15" thickBot="1">
      <c r="A48" s="421" t="s">
        <v>1709</v>
      </c>
      <c r="B48" s="422"/>
      <c r="C48" s="1079" t="e">
        <f>R49</f>
        <v>#DIV/0!</v>
      </c>
      <c r="D48" s="2138" t="s">
        <v>2138</v>
      </c>
      <c r="E48" s="1080" t="e">
        <f>R48</f>
        <v>#DIV/0!</v>
      </c>
      <c r="F48" s="2139"/>
      <c r="G48" s="1079" t="e">
        <f>T48</f>
        <v>#DIV/0!</v>
      </c>
      <c r="H48" s="2139"/>
      <c r="I48" s="1080" t="e">
        <f>V48</f>
        <v>#DIV/0!</v>
      </c>
      <c r="J48" s="2139"/>
      <c r="K48" s="2140">
        <f>F48+H48+J48</f>
        <v>0</v>
      </c>
      <c r="L48" s="2491"/>
      <c r="M48" s="2484"/>
      <c r="N48" s="2484"/>
      <c r="O48" s="2484"/>
      <c r="P48" s="3455" t="str">
        <f>A48</f>
        <v>比较价值（元/平方米）</v>
      </c>
      <c r="Q48" s="3455"/>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3"/>
      <c r="Y48" s="383"/>
      <c r="Z48" s="383"/>
      <c r="AA48" s="383"/>
      <c r="AB48" s="383"/>
      <c r="AC48" s="383"/>
    </row>
    <row r="49" spans="1:29" ht="15" thickBot="1">
      <c r="A49" s="425" t="s">
        <v>1710</v>
      </c>
      <c r="B49" s="426"/>
      <c r="C49" s="1081" t="e">
        <f>R49</f>
        <v>#DIV/0!</v>
      </c>
      <c r="D49" s="349"/>
      <c r="E49" s="349"/>
      <c r="F49" s="349"/>
      <c r="G49" s="349"/>
      <c r="H49" s="349"/>
      <c r="I49" s="349"/>
      <c r="J49" s="349"/>
      <c r="K49" s="1765"/>
      <c r="L49" s="2491"/>
      <c r="M49" s="2484"/>
      <c r="N49" s="2484"/>
      <c r="O49" s="248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row>
    <row r="53" spans="1:29" ht="13.5" customHeight="1">
      <c r="A53" s="2484"/>
      <c r="B53" s="2484"/>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row>
    <row r="54" spans="1:29" s="435" customFormat="1" ht="13.5" customHeight="1">
      <c r="A54" s="2494"/>
      <c r="B54" s="2494"/>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1767"/>
    </row>
    <row r="55" spans="1:29" s="435"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2.2" thickBot="1">
      <c r="A57" s="656" t="s">
        <v>1714</v>
      </c>
      <c r="B57" s="383"/>
      <c r="C57" s="657"/>
      <c r="D57" s="657"/>
      <c r="E57" s="657"/>
      <c r="F57" s="658"/>
      <c r="G57" s="658"/>
      <c r="H57" s="657"/>
      <c r="I57" s="657"/>
      <c r="J57" s="657"/>
      <c r="K57" s="884"/>
      <c r="L57" s="885"/>
      <c r="M57" s="883"/>
      <c r="N57" s="883"/>
      <c r="O57" s="883"/>
      <c r="P57" s="1768"/>
      <c r="Q57" s="437"/>
    </row>
    <row r="58" spans="1:29" s="440" customFormat="1" ht="14.4">
      <c r="A58" s="438" t="s">
        <v>1715</v>
      </c>
      <c r="B58" s="439"/>
      <c r="C58" s="1102" t="str">
        <f>YEAR(C7)&amp;"-"&amp;MONTH(C7)</f>
        <v>2025-4</v>
      </c>
      <c r="D58" s="1101">
        <f>EDATE(C58,-1)</f>
        <v>45717</v>
      </c>
      <c r="E58" s="1101">
        <f>EDATE(D58,-1)</f>
        <v>45689</v>
      </c>
      <c r="F58" s="1101">
        <f t="shared" ref="F58:O58" si="16">EDATE(E58,-1)</f>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 t="shared" si="16"/>
        <v>45383</v>
      </c>
      <c r="P58" s="1097"/>
    </row>
    <row r="59" spans="1:29" s="101" customFormat="1">
      <c r="A59" s="441"/>
      <c r="B59" s="1769"/>
      <c r="C59" s="1099">
        <v>100</v>
      </c>
      <c r="D59" s="443"/>
      <c r="E59" s="444"/>
      <c r="F59" s="444"/>
      <c r="G59" s="444"/>
      <c r="H59" s="444"/>
      <c r="I59" s="444"/>
      <c r="J59" s="444"/>
      <c r="K59" s="444"/>
      <c r="L59" s="444"/>
      <c r="M59" s="445"/>
      <c r="N59" s="444"/>
      <c r="O59" s="445"/>
      <c r="P59" s="1770"/>
    </row>
    <row r="60" spans="1:29" s="101" customFormat="1" ht="15" thickBot="1">
      <c r="A60" s="447" t="s">
        <v>1716</v>
      </c>
      <c r="B60" s="448"/>
      <c r="C60" s="449"/>
      <c r="D60" s="450"/>
      <c r="E60" s="450"/>
      <c r="F60" s="450"/>
      <c r="G60" s="450"/>
      <c r="H60" s="450"/>
      <c r="I60" s="450"/>
      <c r="J60" s="450"/>
      <c r="K60" s="450"/>
      <c r="L60" s="450"/>
      <c r="M60" s="451"/>
      <c r="N60" s="450"/>
      <c r="O60" s="451"/>
      <c r="P60" s="1770"/>
      <c r="Q60" s="437"/>
    </row>
    <row r="61" spans="1:29" s="101" customFormat="1" ht="14.4">
      <c r="A61" s="453" t="s">
        <v>1717</v>
      </c>
      <c r="B61" s="442"/>
      <c r="C61" s="454" t="s">
        <v>1718</v>
      </c>
      <c r="D61" s="31"/>
      <c r="E61" s="31"/>
      <c r="F61" s="31"/>
      <c r="G61" s="31"/>
      <c r="H61" s="31"/>
      <c r="I61" s="31"/>
      <c r="J61" s="31"/>
      <c r="K61" s="31"/>
      <c r="L61" s="455"/>
      <c r="M61" s="456"/>
      <c r="N61" s="875"/>
      <c r="O61" s="875"/>
      <c r="P61" s="1771"/>
      <c r="Q61" s="437"/>
    </row>
    <row r="62" spans="1:29" s="101" customFormat="1" ht="14.4" thickBot="1">
      <c r="A62" s="453"/>
      <c r="B62" s="442"/>
      <c r="C62" s="443">
        <v>100</v>
      </c>
      <c r="D62" s="444"/>
      <c r="E62" s="444"/>
      <c r="F62" s="444"/>
      <c r="G62" s="444"/>
      <c r="H62" s="444"/>
      <c r="I62" s="444"/>
      <c r="J62" s="444"/>
      <c r="K62" s="444"/>
      <c r="L62" s="444"/>
      <c r="M62" s="446"/>
      <c r="N62" s="875"/>
      <c r="O62" s="875"/>
      <c r="P62" s="1770"/>
      <c r="Q62" s="437"/>
    </row>
    <row r="63" spans="1:29" ht="14.4">
      <c r="A63" s="377" t="s">
        <v>1719</v>
      </c>
      <c r="B63" s="458" t="s">
        <v>1685</v>
      </c>
      <c r="C63" s="459">
        <f>C9</f>
        <v>0</v>
      </c>
      <c r="D63" s="460"/>
      <c r="E63" s="460"/>
      <c r="F63" s="460"/>
      <c r="G63" s="460"/>
      <c r="H63" s="460"/>
      <c r="I63" s="460"/>
      <c r="J63" s="460"/>
      <c r="K63" s="461"/>
      <c r="L63" s="462"/>
      <c r="M63" s="463"/>
      <c r="N63" s="876"/>
      <c r="O63" s="876"/>
      <c r="P63" s="1772"/>
      <c r="Q63" s="437"/>
    </row>
    <row r="64" spans="1:29" ht="14.4" thickBot="1">
      <c r="A64" s="365"/>
      <c r="B64" s="464"/>
      <c r="C64" s="465">
        <v>100</v>
      </c>
      <c r="D64" s="465"/>
      <c r="E64" s="465"/>
      <c r="F64" s="465"/>
      <c r="G64" s="465"/>
      <c r="H64" s="465"/>
      <c r="I64" s="465"/>
      <c r="J64" s="465"/>
      <c r="K64" s="465"/>
      <c r="L64" s="465"/>
      <c r="M64" s="466"/>
      <c r="N64" s="877"/>
      <c r="O64" s="877"/>
      <c r="P64" s="1772"/>
      <c r="Q64" s="437"/>
    </row>
    <row r="65" spans="1:17" ht="29.4" thickTop="1">
      <c r="A65" s="365"/>
      <c r="B65" s="467" t="s">
        <v>1688</v>
      </c>
      <c r="C65" s="511"/>
      <c r="D65" s="511"/>
      <c r="E65" s="511"/>
      <c r="F65" s="511"/>
      <c r="G65" s="511"/>
      <c r="H65" s="511"/>
      <c r="I65" s="511"/>
      <c r="J65" s="511"/>
      <c r="K65" s="511"/>
      <c r="L65" s="511"/>
      <c r="M65" s="511"/>
      <c r="N65" s="877"/>
      <c r="O65" s="877"/>
      <c r="P65" s="1772"/>
      <c r="Q65" s="437"/>
    </row>
    <row r="66" spans="1:17" ht="14.4" thickBot="1">
      <c r="A66" s="365"/>
      <c r="B66" s="472"/>
      <c r="C66" s="465"/>
      <c r="D66" s="465"/>
      <c r="E66" s="465"/>
      <c r="F66" s="465"/>
      <c r="G66" s="465"/>
      <c r="H66" s="465"/>
      <c r="I66" s="465"/>
      <c r="J66" s="465"/>
      <c r="K66" s="465"/>
      <c r="L66" s="465"/>
      <c r="M66" s="466"/>
      <c r="N66" s="877"/>
      <c r="O66" s="877"/>
      <c r="P66" s="1772"/>
      <c r="Q66" s="437"/>
    </row>
    <row r="67" spans="1:17"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K68&amp;"（含）"&amp;"-"&amp;L68</f>
        <v>（含）-</v>
      </c>
      <c r="L67" s="476" t="str">
        <f t="shared" si="17"/>
        <v>（含）-</v>
      </c>
      <c r="M67" s="385" t="str">
        <f>M68&amp;"（含）"&amp;"-"&amp;P68</f>
        <v>（含）-</v>
      </c>
      <c r="N67" s="877"/>
      <c r="O67" s="877"/>
      <c r="P67" s="1772"/>
      <c r="Q67" s="437"/>
    </row>
    <row r="68" spans="1:17">
      <c r="A68" s="365"/>
      <c r="B68" s="477"/>
      <c r="C68" s="478"/>
      <c r="D68" s="478"/>
      <c r="E68" s="478"/>
      <c r="F68" s="478"/>
      <c r="G68" s="478"/>
      <c r="H68" s="478"/>
      <c r="I68" s="478"/>
      <c r="J68" s="478"/>
      <c r="K68" s="479"/>
      <c r="L68" s="480"/>
      <c r="M68" s="481"/>
      <c r="N68" s="876"/>
      <c r="O68" s="876"/>
      <c r="P68" s="1772"/>
      <c r="Q68" s="437"/>
    </row>
    <row r="69" spans="1:17"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877"/>
      <c r="O69" s="877"/>
      <c r="P69" s="1772"/>
      <c r="Q69" s="437"/>
    </row>
    <row r="70" spans="1:17" s="406" customFormat="1" ht="14.4" thickTop="1">
      <c r="A70" s="482"/>
      <c r="B70" s="467">
        <f>B12</f>
        <v>111</v>
      </c>
      <c r="C70" s="483"/>
      <c r="D70" s="483"/>
      <c r="E70" s="483"/>
      <c r="F70" s="483"/>
      <c r="G70" s="483"/>
      <c r="H70" s="484"/>
      <c r="I70" s="484"/>
      <c r="J70" s="484"/>
      <c r="K70" s="484"/>
      <c r="L70" s="485"/>
      <c r="M70" s="486"/>
      <c r="N70" s="878"/>
      <c r="O70" s="878"/>
      <c r="P70" s="1773"/>
      <c r="Q70" s="488"/>
    </row>
    <row r="71" spans="1:17" s="406" customFormat="1" ht="14.4" thickBot="1">
      <c r="A71" s="482"/>
      <c r="B71" s="472"/>
      <c r="C71" s="489"/>
      <c r="D71" s="465"/>
      <c r="E71" s="465"/>
      <c r="F71" s="465"/>
      <c r="G71" s="465"/>
      <c r="H71" s="465"/>
      <c r="I71" s="465"/>
      <c r="J71" s="465"/>
      <c r="K71" s="465"/>
      <c r="L71" s="465"/>
      <c r="M71" s="466"/>
      <c r="N71" s="877"/>
      <c r="O71" s="877"/>
      <c r="P71" s="1773"/>
      <c r="Q71" s="488"/>
    </row>
    <row r="72" spans="1:17" s="406" customFormat="1" ht="14.4" thickTop="1">
      <c r="A72" s="482"/>
      <c r="B72" s="467">
        <f>B13</f>
        <v>111</v>
      </c>
      <c r="C72" s="483"/>
      <c r="D72" s="483"/>
      <c r="E72" s="483"/>
      <c r="F72" s="483"/>
      <c r="G72" s="483"/>
      <c r="H72" s="484"/>
      <c r="I72" s="484"/>
      <c r="J72" s="484"/>
      <c r="K72" s="484"/>
      <c r="L72" s="485"/>
      <c r="M72" s="486"/>
      <c r="N72" s="878"/>
      <c r="O72" s="878"/>
      <c r="P72" s="1774"/>
      <c r="Q72" s="490"/>
    </row>
    <row r="73" spans="1:17" s="406" customFormat="1" ht="14.4" thickBot="1">
      <c r="A73" s="482"/>
      <c r="B73" s="472"/>
      <c r="C73" s="489"/>
      <c r="D73" s="489"/>
      <c r="E73" s="489"/>
      <c r="F73" s="489"/>
      <c r="G73" s="489"/>
      <c r="H73" s="491"/>
      <c r="I73" s="491"/>
      <c r="J73" s="491"/>
      <c r="K73" s="491"/>
      <c r="L73" s="491"/>
      <c r="M73" s="492"/>
      <c r="N73" s="878"/>
      <c r="O73" s="878"/>
      <c r="P73" s="1773"/>
      <c r="Q73" s="488"/>
    </row>
    <row r="74" spans="1:17" s="406" customFormat="1" ht="14.4" thickTop="1">
      <c r="A74" s="482"/>
      <c r="B74" s="475">
        <f>B14</f>
        <v>111</v>
      </c>
      <c r="C74" s="483"/>
      <c r="D74" s="483"/>
      <c r="E74" s="483"/>
      <c r="F74" s="483"/>
      <c r="G74" s="31"/>
      <c r="H74" s="493"/>
      <c r="I74" s="493"/>
      <c r="J74" s="493"/>
      <c r="K74" s="493"/>
      <c r="L74" s="494"/>
      <c r="M74" s="495"/>
      <c r="N74" s="878"/>
      <c r="O74" s="878"/>
      <c r="P74" s="1775"/>
      <c r="Q74" s="488"/>
    </row>
    <row r="75" spans="1:17" s="406" customFormat="1" ht="14.4" thickBot="1">
      <c r="A75" s="497"/>
      <c r="B75" s="498"/>
      <c r="C75" s="499"/>
      <c r="D75" s="499"/>
      <c r="E75" s="499"/>
      <c r="F75" s="499"/>
      <c r="G75" s="499"/>
      <c r="H75" s="500"/>
      <c r="I75" s="500"/>
      <c r="J75" s="500"/>
      <c r="K75" s="500"/>
      <c r="L75" s="500"/>
      <c r="M75" s="501"/>
      <c r="N75" s="878"/>
      <c r="O75" s="878"/>
      <c r="P75" s="1773"/>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4.4" thickBot="1">
      <c r="A83" s="365"/>
      <c r="B83" s="475"/>
      <c r="C83" s="579">
        <v>100</v>
      </c>
      <c r="D83" s="579">
        <f>C83-$K21</f>
        <v>100</v>
      </c>
      <c r="E83" s="579">
        <f>D83-$K21</f>
        <v>100</v>
      </c>
      <c r="F83" s="579">
        <f>E83-$K21</f>
        <v>100</v>
      </c>
      <c r="G83" s="579">
        <f>F83-$K21</f>
        <v>100</v>
      </c>
      <c r="H83" s="579"/>
      <c r="I83" s="579"/>
      <c r="J83" s="579"/>
      <c r="K83" s="579"/>
      <c r="L83" s="579"/>
      <c r="M83" s="387"/>
      <c r="N83" s="877"/>
      <c r="O83" s="877"/>
      <c r="P83" s="1772"/>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 thickTop="1">
      <c r="A86" s="368"/>
      <c r="B86" s="467" t="s">
        <v>1734</v>
      </c>
      <c r="C86" s="483"/>
      <c r="D86" s="483"/>
      <c r="E86" s="483"/>
      <c r="F86" s="483"/>
      <c r="G86" s="483"/>
      <c r="H86" s="483"/>
      <c r="I86" s="483"/>
      <c r="J86" s="483"/>
      <c r="K86" s="483"/>
      <c r="L86" s="508"/>
      <c r="M86" s="509"/>
      <c r="N86" s="875"/>
      <c r="O86" s="875"/>
      <c r="P86" s="1772"/>
      <c r="Q86" s="437"/>
    </row>
    <row r="87" spans="1:17" s="101" customFormat="1" ht="14.4" thickBot="1">
      <c r="A87" s="368"/>
      <c r="B87" s="472"/>
      <c r="C87" s="510">
        <v>100</v>
      </c>
      <c r="D87" s="473">
        <f t="shared" ref="D87:M87" si="19">$C$87-($C$86-D86)*$K$25</f>
        <v>100</v>
      </c>
      <c r="E87" s="473">
        <f t="shared" si="19"/>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877"/>
      <c r="O87" s="877"/>
      <c r="P87" s="1772"/>
      <c r="Q87" s="437"/>
    </row>
    <row r="88" spans="1:17" s="101" customFormat="1" ht="15" thickTop="1">
      <c r="A88" s="368"/>
      <c r="B88" s="467" t="s">
        <v>1735</v>
      </c>
      <c r="C88" s="483"/>
      <c r="D88" s="483"/>
      <c r="E88" s="483"/>
      <c r="F88" s="1777"/>
      <c r="G88" s="483"/>
      <c r="H88" s="483"/>
      <c r="I88" s="483"/>
      <c r="J88" s="483"/>
      <c r="K88" s="483"/>
      <c r="L88" s="483"/>
      <c r="M88" s="509"/>
      <c r="N88" s="875"/>
      <c r="O88" s="875"/>
      <c r="P88" s="1772"/>
      <c r="Q88" s="437"/>
    </row>
    <row r="89" spans="1:17" s="101" customFormat="1" ht="14.4" thickBot="1">
      <c r="A89" s="368"/>
      <c r="B89" s="472"/>
      <c r="C89" s="510">
        <v>100</v>
      </c>
      <c r="D89" s="473">
        <f t="shared" ref="D89:M89" si="20">C89-$K26</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877"/>
      <c r="O89" s="877"/>
      <c r="P89" s="1772"/>
      <c r="Q89" s="437"/>
    </row>
    <row r="90" spans="1:17" s="406" customFormat="1" ht="14.4" thickTop="1">
      <c r="A90" s="482"/>
      <c r="B90" s="467">
        <f>B27</f>
        <v>111</v>
      </c>
      <c r="C90" s="483"/>
      <c r="D90" s="483"/>
      <c r="E90" s="483"/>
      <c r="F90" s="483"/>
      <c r="G90" s="483"/>
      <c r="H90" s="484"/>
      <c r="I90" s="484"/>
      <c r="J90" s="484"/>
      <c r="K90" s="484"/>
      <c r="L90" s="485"/>
      <c r="M90" s="486"/>
      <c r="N90" s="878"/>
      <c r="O90" s="878"/>
      <c r="P90" s="1773"/>
      <c r="Q90" s="488"/>
    </row>
    <row r="91" spans="1:17" s="406" customFormat="1" ht="14.4" thickBot="1">
      <c r="A91" s="482"/>
      <c r="B91" s="472"/>
      <c r="C91" s="489"/>
      <c r="D91" s="489"/>
      <c r="E91" s="489"/>
      <c r="F91" s="489"/>
      <c r="G91" s="489"/>
      <c r="H91" s="491"/>
      <c r="I91" s="491"/>
      <c r="J91" s="491"/>
      <c r="K91" s="491"/>
      <c r="L91" s="491"/>
      <c r="M91" s="492"/>
      <c r="N91" s="878"/>
      <c r="O91" s="878"/>
      <c r="P91" s="1773"/>
      <c r="Q91" s="488"/>
    </row>
    <row r="92" spans="1:17" ht="14.4" thickTop="1">
      <c r="A92" s="365"/>
      <c r="B92" s="467">
        <f>B28</f>
        <v>111</v>
      </c>
      <c r="C92" s="483"/>
      <c r="D92" s="483"/>
      <c r="E92" s="483"/>
      <c r="F92" s="483"/>
      <c r="G92" s="511"/>
      <c r="H92" s="511"/>
      <c r="I92" s="511"/>
      <c r="J92" s="511"/>
      <c r="K92" s="512"/>
      <c r="L92" s="513"/>
      <c r="M92" s="514"/>
      <c r="N92" s="876"/>
      <c r="O92" s="876"/>
      <c r="P92" s="1772"/>
      <c r="Q92" s="437"/>
    </row>
    <row r="93" spans="1:17" ht="14.4" thickBot="1">
      <c r="A93" s="365"/>
      <c r="B93" s="472"/>
      <c r="C93" s="489"/>
      <c r="D93" s="465"/>
      <c r="E93" s="465"/>
      <c r="F93" s="465"/>
      <c r="G93" s="465"/>
      <c r="H93" s="465"/>
      <c r="I93" s="465"/>
      <c r="J93" s="465"/>
      <c r="K93" s="465"/>
      <c r="L93" s="465"/>
      <c r="M93" s="466"/>
      <c r="N93" s="877"/>
      <c r="O93" s="877"/>
      <c r="P93" s="1772"/>
      <c r="Q93" s="437"/>
    </row>
    <row r="94" spans="1:17" ht="14.4" thickTop="1">
      <c r="A94" s="365"/>
      <c r="B94" s="467">
        <f>B29</f>
        <v>111</v>
      </c>
      <c r="C94" s="483"/>
      <c r="D94" s="483"/>
      <c r="E94" s="483"/>
      <c r="F94" s="483"/>
      <c r="G94" s="511"/>
      <c r="H94" s="511"/>
      <c r="I94" s="511"/>
      <c r="J94" s="511"/>
      <c r="K94" s="512"/>
      <c r="L94" s="513"/>
      <c r="M94" s="514"/>
      <c r="N94" s="876"/>
      <c r="O94" s="876"/>
      <c r="P94" s="1772"/>
      <c r="Q94" s="437"/>
    </row>
    <row r="95" spans="1:17" ht="14.4" thickBot="1">
      <c r="A95" s="365"/>
      <c r="B95" s="472"/>
      <c r="C95" s="489"/>
      <c r="D95" s="489"/>
      <c r="E95" s="489"/>
      <c r="F95" s="489"/>
      <c r="G95" s="465"/>
      <c r="H95" s="465"/>
      <c r="I95" s="465"/>
      <c r="J95" s="465"/>
      <c r="K95" s="465"/>
      <c r="L95" s="465"/>
      <c r="M95" s="466"/>
      <c r="N95" s="877"/>
      <c r="O95" s="877"/>
      <c r="P95" s="1772"/>
      <c r="Q95" s="437"/>
    </row>
    <row r="96" spans="1:17" ht="14.4" thickTop="1">
      <c r="A96" s="365"/>
      <c r="B96" s="467">
        <f>B30</f>
        <v>111</v>
      </c>
      <c r="C96" s="483"/>
      <c r="D96" s="483"/>
      <c r="E96" s="483"/>
      <c r="F96" s="483"/>
      <c r="G96" s="511"/>
      <c r="H96" s="511"/>
      <c r="I96" s="511"/>
      <c r="J96" s="511"/>
      <c r="K96" s="512"/>
      <c r="L96" s="513"/>
      <c r="M96" s="514"/>
      <c r="N96" s="876"/>
      <c r="O96" s="876"/>
      <c r="P96" s="1772"/>
      <c r="Q96" s="437"/>
    </row>
    <row r="97" spans="1:17" ht="14.4" thickBot="1">
      <c r="A97" s="365"/>
      <c r="B97" s="472"/>
      <c r="C97" s="499"/>
      <c r="D97" s="499"/>
      <c r="E97" s="499"/>
      <c r="F97" s="499"/>
      <c r="G97" s="465"/>
      <c r="H97" s="465"/>
      <c r="I97" s="465"/>
      <c r="J97" s="465"/>
      <c r="K97" s="465"/>
      <c r="L97" s="465"/>
      <c r="M97" s="466"/>
      <c r="N97" s="877"/>
      <c r="O97" s="877"/>
      <c r="P97" s="1772"/>
      <c r="Q97" s="437"/>
    </row>
    <row r="98" spans="1:17" ht="14.4" thickTop="1">
      <c r="A98" s="365"/>
      <c r="B98" s="475">
        <f>B31</f>
        <v>111</v>
      </c>
      <c r="C98" s="515"/>
      <c r="D98" s="515"/>
      <c r="E98" s="515"/>
      <c r="F98" s="515"/>
      <c r="G98" s="515"/>
      <c r="H98" s="515"/>
      <c r="I98" s="515"/>
      <c r="J98" s="515"/>
      <c r="K98" s="516"/>
      <c r="L98" s="517"/>
      <c r="M98" s="518"/>
      <c r="N98" s="876"/>
      <c r="O98" s="876"/>
      <c r="P98" s="1772"/>
      <c r="Q98" s="437"/>
    </row>
    <row r="99" spans="1:17" ht="14.4" thickBot="1">
      <c r="A99" s="373"/>
      <c r="B99" s="498"/>
      <c r="C99" s="519"/>
      <c r="D99" s="519"/>
      <c r="E99" s="519"/>
      <c r="F99" s="519"/>
      <c r="G99" s="519"/>
      <c r="H99" s="519"/>
      <c r="I99" s="519"/>
      <c r="J99" s="519"/>
      <c r="K99" s="519"/>
      <c r="L99" s="519"/>
      <c r="M99" s="520"/>
      <c r="N99" s="877"/>
      <c r="O99" s="877"/>
      <c r="P99" s="1772"/>
      <c r="Q99" s="437"/>
    </row>
    <row r="100" spans="1:17" ht="14.4">
      <c r="A100" s="377" t="s">
        <v>1694</v>
      </c>
      <c r="B100" s="458" t="s">
        <v>1736</v>
      </c>
      <c r="C100" s="460"/>
      <c r="D100" s="460"/>
      <c r="E100" s="460"/>
      <c r="F100" s="460"/>
      <c r="G100" s="460"/>
      <c r="H100" s="460"/>
      <c r="I100" s="460"/>
      <c r="J100" s="460"/>
      <c r="K100" s="461"/>
      <c r="L100" s="462"/>
      <c r="M100" s="463"/>
      <c r="N100" s="876"/>
      <c r="O100" s="876"/>
      <c r="P100" s="1772"/>
      <c r="Q100" s="437"/>
    </row>
    <row r="101" spans="1:17" ht="14.4" thickBot="1">
      <c r="A101" s="365"/>
      <c r="B101" s="472"/>
      <c r="C101" s="473">
        <v>100</v>
      </c>
      <c r="D101" s="473">
        <f t="shared" ref="D101:M101" si="21">C101-$K32</f>
        <v>100</v>
      </c>
      <c r="E101" s="473">
        <f t="shared" si="21"/>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7"/>
      <c r="O101" s="877"/>
      <c r="P101" s="1772"/>
      <c r="Q101" s="437"/>
    </row>
    <row r="102" spans="1:17" ht="15" thickTop="1">
      <c r="A102" s="365"/>
      <c r="B102" s="467" t="s">
        <v>1737</v>
      </c>
      <c r="C102" s="507" t="str">
        <f>C103&amp;"(含)"&amp;"-"&amp;D103</f>
        <v>(含)-</v>
      </c>
      <c r="D102" s="507" t="str">
        <f t="shared" ref="D102:L102" si="22">D103&amp;"(含)"&amp;"-"&amp;E103</f>
        <v>(含)-</v>
      </c>
      <c r="E102" s="507" t="str">
        <f t="shared" si="22"/>
        <v>(含)-</v>
      </c>
      <c r="F102" s="507" t="str">
        <f t="shared" si="22"/>
        <v>(含)-</v>
      </c>
      <c r="G102" s="507" t="str">
        <f t="shared" si="22"/>
        <v>(含)-</v>
      </c>
      <c r="H102" s="507" t="str">
        <f t="shared" si="22"/>
        <v>(含)-</v>
      </c>
      <c r="I102" s="507" t="str">
        <f t="shared" si="22"/>
        <v>(含)-</v>
      </c>
      <c r="J102" s="507" t="str">
        <f t="shared" si="22"/>
        <v>(含)-</v>
      </c>
      <c r="K102" s="507" t="str">
        <f>K103&amp;"(含)"&amp;"-"&amp;L103</f>
        <v>(含)-</v>
      </c>
      <c r="L102" s="507" t="str">
        <f t="shared" si="22"/>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4.4"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4.4" thickBot="1">
      <c r="A106" s="365"/>
      <c r="B106" s="472"/>
      <c r="C106" s="473">
        <v>100</v>
      </c>
      <c r="D106" s="473">
        <f t="shared" ref="D106:M106" si="23">C106-$K34</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4.4" thickBot="1">
      <c r="A108" s="365"/>
      <c r="B108" s="472"/>
      <c r="C108" s="473">
        <v>100</v>
      </c>
      <c r="D108" s="473">
        <f t="shared" ref="D108:M108" si="24">C108-$K35</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4.4" thickBot="1">
      <c r="A110" s="365"/>
      <c r="B110" s="472"/>
      <c r="C110" s="473">
        <v>100</v>
      </c>
      <c r="D110" s="473">
        <f t="shared" ref="D110:M110" si="25">C110-$K36</f>
        <v>100</v>
      </c>
      <c r="E110" s="473">
        <f t="shared" si="25"/>
        <v>100</v>
      </c>
      <c r="F110" s="473">
        <f t="shared" si="25"/>
        <v>100</v>
      </c>
      <c r="G110" s="473">
        <f t="shared" si="25"/>
        <v>100</v>
      </c>
      <c r="H110" s="473">
        <f t="shared" si="25"/>
        <v>100</v>
      </c>
      <c r="I110" s="473">
        <f t="shared" si="25"/>
        <v>100</v>
      </c>
      <c r="J110" s="473">
        <f t="shared" si="25"/>
        <v>100</v>
      </c>
      <c r="K110" s="473">
        <f t="shared" si="25"/>
        <v>100</v>
      </c>
      <c r="L110" s="473">
        <f t="shared" si="25"/>
        <v>100</v>
      </c>
      <c r="M110" s="473">
        <f t="shared" si="25"/>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4.4" thickBot="1">
      <c r="A115" s="365"/>
      <c r="B115" s="472"/>
      <c r="C115" s="473">
        <v>100</v>
      </c>
      <c r="D115" s="473">
        <f t="shared" ref="D115:M115" si="26">C115-$K38</f>
        <v>100</v>
      </c>
      <c r="E115" s="473">
        <f t="shared" si="26"/>
        <v>100</v>
      </c>
      <c r="F115" s="473">
        <f t="shared" si="26"/>
        <v>100</v>
      </c>
      <c r="G115" s="473">
        <f t="shared" si="26"/>
        <v>100</v>
      </c>
      <c r="H115" s="473">
        <f t="shared" si="26"/>
        <v>100</v>
      </c>
      <c r="I115" s="473">
        <f t="shared" si="26"/>
        <v>100</v>
      </c>
      <c r="J115" s="473">
        <f t="shared" si="26"/>
        <v>100</v>
      </c>
      <c r="K115" s="473">
        <f t="shared" si="26"/>
        <v>100</v>
      </c>
      <c r="L115" s="473">
        <f t="shared" si="26"/>
        <v>100</v>
      </c>
      <c r="M115" s="473">
        <f t="shared" si="26"/>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4.4" thickBot="1">
      <c r="A119" s="365"/>
      <c r="B119" s="472"/>
      <c r="C119" s="473">
        <v>100</v>
      </c>
      <c r="D119" s="473">
        <f t="shared" ref="D119:M119" si="27">C119-$K40</f>
        <v>100</v>
      </c>
      <c r="E119" s="473">
        <f t="shared" si="27"/>
        <v>100</v>
      </c>
      <c r="F119" s="473">
        <f t="shared" si="27"/>
        <v>100</v>
      </c>
      <c r="G119" s="473">
        <f t="shared" si="27"/>
        <v>100</v>
      </c>
      <c r="H119" s="473">
        <f t="shared" si="27"/>
        <v>100</v>
      </c>
      <c r="I119" s="473">
        <f t="shared" si="27"/>
        <v>100</v>
      </c>
      <c r="J119" s="473">
        <f t="shared" si="27"/>
        <v>100</v>
      </c>
      <c r="K119" s="473">
        <f t="shared" si="27"/>
        <v>100</v>
      </c>
      <c r="L119" s="473">
        <f t="shared" si="27"/>
        <v>100</v>
      </c>
      <c r="M119" s="473">
        <f t="shared" si="27"/>
        <v>100</v>
      </c>
      <c r="N119" s="877"/>
      <c r="O119" s="877"/>
      <c r="P119" s="1772"/>
      <c r="Q119" s="437"/>
    </row>
    <row r="120" spans="1:17" s="406" customFormat="1" ht="29.4"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4.4"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4.4" thickBot="1">
      <c r="A123" s="365"/>
      <c r="B123" s="472"/>
      <c r="C123" s="473">
        <v>100</v>
      </c>
      <c r="D123" s="473">
        <f t="shared" ref="D123:M123" si="28">C123-$K42</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3">
        <f t="shared" si="28"/>
        <v>100</v>
      </c>
      <c r="N123" s="877"/>
      <c r="O123" s="877"/>
      <c r="P123" s="1772"/>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4.4"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4.4" thickBot="1">
      <c r="A127" s="482"/>
      <c r="B127" s="472"/>
      <c r="C127" s="489"/>
      <c r="D127" s="465"/>
      <c r="E127" s="465"/>
      <c r="F127" s="465"/>
      <c r="G127" s="489"/>
      <c r="H127" s="491"/>
      <c r="I127" s="491"/>
      <c r="J127" s="491"/>
      <c r="K127" s="491"/>
      <c r="L127" s="491"/>
      <c r="M127" s="492"/>
      <c r="N127" s="878"/>
      <c r="O127" s="878"/>
      <c r="P127" s="1773"/>
      <c r="Q127" s="488"/>
    </row>
    <row r="128" spans="1:17" ht="14.4" thickTop="1">
      <c r="A128" s="407"/>
      <c r="B128" s="467">
        <f>B45</f>
        <v>111</v>
      </c>
      <c r="C128" s="483"/>
      <c r="D128" s="483"/>
      <c r="E128" s="483"/>
      <c r="F128" s="483"/>
      <c r="G128" s="511"/>
      <c r="H128" s="511"/>
      <c r="I128" s="511"/>
      <c r="J128" s="511"/>
      <c r="K128" s="512"/>
      <c r="L128" s="513"/>
      <c r="M128" s="514"/>
      <c r="N128" s="876"/>
      <c r="O128" s="876"/>
      <c r="P128" s="1772"/>
      <c r="Q128" s="437"/>
    </row>
    <row r="129" spans="1:17" ht="14.4" thickBot="1">
      <c r="A129" s="365"/>
      <c r="B129" s="472"/>
      <c r="C129" s="489"/>
      <c r="D129" s="489"/>
      <c r="E129" s="489"/>
      <c r="F129" s="489"/>
      <c r="G129" s="465"/>
      <c r="H129" s="465"/>
      <c r="I129" s="465"/>
      <c r="J129" s="465"/>
      <c r="K129" s="465"/>
      <c r="L129" s="465"/>
      <c r="M129" s="466"/>
      <c r="N129" s="877"/>
      <c r="O129" s="877"/>
      <c r="P129" s="1772"/>
      <c r="Q129" s="437"/>
    </row>
    <row r="130" spans="1:17" ht="14.4" thickTop="1">
      <c r="A130" s="407"/>
      <c r="B130" s="475">
        <f>B46</f>
        <v>111</v>
      </c>
      <c r="C130" s="483"/>
      <c r="D130" s="483"/>
      <c r="E130" s="483"/>
      <c r="F130" s="483"/>
      <c r="G130" s="515"/>
      <c r="H130" s="515"/>
      <c r="I130" s="515"/>
      <c r="J130" s="515"/>
      <c r="K130" s="31"/>
      <c r="L130" s="455"/>
      <c r="M130" s="518"/>
      <c r="N130" s="876"/>
      <c r="O130" s="876"/>
      <c r="P130" s="1772"/>
      <c r="Q130" s="437"/>
    </row>
    <row r="131" spans="1:17" ht="14.4"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52:F54 H52:H54 J52:J54">
    <cfRule type="containsText" dxfId="87" priority="15" stopIfTrue="1" operator="containsText" text="超过">
      <formula>NOT(ISERROR(SEARCH("超过",F52)))</formula>
    </cfRule>
  </conditionalFormatting>
  <conditionalFormatting sqref="G52">
    <cfRule type="expression" dxfId="86" priority="9" stopIfTrue="1">
      <formula>$H$52="超过30%"</formula>
    </cfRule>
  </conditionalFormatting>
  <conditionalFormatting sqref="G53">
    <cfRule type="expression" dxfId="85" priority="8" stopIfTrue="1">
      <formula>$H$53="超过20%"</formula>
    </cfRule>
  </conditionalFormatting>
  <conditionalFormatting sqref="G54">
    <cfRule type="expression" dxfId="84" priority="12" stopIfTrue="1">
      <formula>$H$54="超过30%"</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估价对象为房地产，为所有。根据《国有土地使用证》[]，估价对象（分摊）出让国有建设用地使用权面积为0平方米，建筑面积为21949.9100000001平方米。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估价对象为房地产,属开发建设的，该项目尚在开发建设中。根据《国有土地使用证》[]，估价对象（分摊）出让国有建设用地使用权面积为0平方米，规划建筑面积为21949.9100000001平方米。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2025年4月15日（评估专业人员实地查勘之日）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15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1766</v>
      </c>
      <c r="C1" s="1152" t="s">
        <v>1662</v>
      </c>
      <c r="D1" s="1139"/>
      <c r="E1" s="3121"/>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21949.910000000098</v>
      </c>
      <c r="E3" s="1802"/>
      <c r="F3" s="853"/>
      <c r="G3" s="852"/>
      <c r="H3" s="852"/>
      <c r="I3" s="852"/>
      <c r="J3" s="852"/>
      <c r="K3" s="854"/>
      <c r="L3" s="2500"/>
      <c r="M3" s="2501"/>
      <c r="N3" s="2501"/>
      <c r="O3" s="2501"/>
      <c r="P3" s="1801"/>
      <c r="Q3" s="856"/>
      <c r="R3" s="856"/>
      <c r="S3" s="856"/>
      <c r="T3" s="856"/>
      <c r="U3" s="856"/>
      <c r="V3" s="856"/>
      <c r="W3" s="856"/>
      <c r="X3" s="856"/>
      <c r="Y3" s="856"/>
      <c r="Z3" s="856"/>
      <c r="AA3" s="856"/>
      <c r="AB3" s="856"/>
      <c r="AC3" s="1802"/>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50"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50"/>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50"/>
      <c r="AC6" s="3422"/>
    </row>
    <row r="7" spans="1:29" s="101" customFormat="1" ht="15" thickBot="1">
      <c r="A7" s="350" t="s">
        <v>1679</v>
      </c>
      <c r="B7" s="351"/>
      <c r="C7" s="352">
        <f>'数据-取费表'!B2</f>
        <v>45762</v>
      </c>
      <c r="D7" s="353">
        <v>100</v>
      </c>
      <c r="E7" s="354"/>
      <c r="F7" s="355">
        <f>SUMIF(58:58,YEAR(E7)&amp;"-"&amp;MONTH(E7),59:59)</f>
        <v>0</v>
      </c>
      <c r="G7" s="354"/>
      <c r="H7" s="353">
        <f>SUMIF(58:58,YEAR(G7)&amp;"-"&amp;MONTH(G7),59:59)</f>
        <v>0</v>
      </c>
      <c r="I7" s="354"/>
      <c r="J7" s="353">
        <f>SUMIF(58:58,YEAR(I7)&amp;"-"&amp;MONTH(I7),59:59)</f>
        <v>0</v>
      </c>
      <c r="K7" s="38"/>
      <c r="L7" s="2485"/>
      <c r="M7" s="2437"/>
      <c r="N7" s="2437"/>
      <c r="O7" s="2437"/>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5"/>
      <c r="M8" s="2437"/>
      <c r="N8" s="2437"/>
      <c r="O8" s="2437"/>
      <c r="P8" s="3423" t="s">
        <v>1683</v>
      </c>
      <c r="Q8" s="3424"/>
      <c r="R8" s="662" t="s">
        <v>14</v>
      </c>
      <c r="S8" s="663">
        <f t="shared" si="0"/>
        <v>100</v>
      </c>
      <c r="T8" s="662" t="s">
        <v>14</v>
      </c>
      <c r="U8" s="663">
        <f t="shared" si="1"/>
        <v>100</v>
      </c>
      <c r="V8" s="662" t="s">
        <v>14</v>
      </c>
      <c r="W8" s="663">
        <f t="shared" si="2"/>
        <v>100</v>
      </c>
      <c r="X8" s="664"/>
      <c r="Y8" s="3423" t="s">
        <v>1683</v>
      </c>
      <c r="Z8" s="3424"/>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5"/>
      <c r="M9" s="2437"/>
      <c r="N9" s="2437"/>
      <c r="O9" s="2437"/>
      <c r="P9" s="3437"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129"/>
      <c r="D10" s="117">
        <v>100</v>
      </c>
      <c r="E10" s="3130"/>
      <c r="F10" s="362">
        <f>SUMIF(65:65,E10,66:66)-SUMIF(65:65,C10,66:66)+100</f>
        <v>100</v>
      </c>
      <c r="G10" s="3129"/>
      <c r="H10" s="117">
        <f>SUMIF(65:65,G10,66:66)-SUMIF(65:65,C10,66:66)+100</f>
        <v>100</v>
      </c>
      <c r="I10" s="3129"/>
      <c r="J10" s="117">
        <f>SUMIF(65:65,I10,66:66)-SUMIF(65:65,C10,66:66)+100</f>
        <v>100</v>
      </c>
      <c r="K10" s="38"/>
      <c r="L10" s="2486"/>
      <c r="M10" s="2487"/>
      <c r="N10" s="2487"/>
      <c r="O10" s="2487"/>
      <c r="P10" s="3437"/>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8"/>
      <c r="M11" s="2484"/>
      <c r="N11" s="2484"/>
      <c r="O11" s="2484"/>
      <c r="P11" s="3437"/>
      <c r="Q11" s="528"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5"/>
      <c r="M12" s="2437"/>
      <c r="N12" s="2437"/>
      <c r="O12" s="2437"/>
      <c r="P12" s="3437"/>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437"/>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437"/>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69">
      <c r="A15" s="377" t="s">
        <v>1690</v>
      </c>
      <c r="B15" s="58" t="s">
        <v>1777</v>
      </c>
      <c r="C15" s="1747" t="str">
        <f>估价对象房地状况!C4</f>
        <v>估价对象位于朝阳门商圈，周边商业氛围成熟，人流量大，商业繁华度较好</v>
      </c>
      <c r="D15" s="378">
        <v>100</v>
      </c>
      <c r="E15" s="379"/>
      <c r="F15" s="380">
        <f>SUMIF(76:76,E16,77:77)-SUMIF(76:76,C16,77:77)+100</f>
        <v>100</v>
      </c>
      <c r="G15" s="381"/>
      <c r="H15" s="378">
        <f>SUMIF(76:76,G16,77:77)-SUMIF(76:76,C16,77:77)+100</f>
        <v>100</v>
      </c>
      <c r="I15" s="379"/>
      <c r="J15" s="378">
        <f>SUMIF(76:76,I16,77:77)-SUMIF(76:76,C16,77:77)+100</f>
        <v>100</v>
      </c>
      <c r="K15" s="538"/>
      <c r="L15" s="2489"/>
      <c r="M15" s="2484"/>
      <c r="N15" s="2484"/>
      <c r="O15" s="2484"/>
      <c r="P15" s="3463"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9"/>
      <c r="M16" s="2484"/>
      <c r="N16" s="2484"/>
      <c r="O16" s="2484"/>
      <c r="P16" s="3464"/>
      <c r="Q16" s="1260"/>
      <c r="R16" s="665"/>
      <c r="S16" s="666"/>
      <c r="T16" s="665"/>
      <c r="U16" s="666"/>
      <c r="V16" s="665"/>
      <c r="W16" s="666"/>
      <c r="X16" s="1262"/>
      <c r="Y16" s="3457"/>
      <c r="Z16" s="1261"/>
      <c r="AA16" s="1261">
        <v>1</v>
      </c>
      <c r="AB16" s="1261">
        <v>1</v>
      </c>
      <c r="AC16" s="1261">
        <v>1</v>
      </c>
    </row>
    <row r="17" spans="1:29" ht="82.8">
      <c r="A17" s="365"/>
      <c r="B17" s="388" t="s">
        <v>1259</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9"/>
      <c r="M17" s="2484"/>
      <c r="N17" s="2484"/>
      <c r="O17" s="2484"/>
      <c r="P17" s="3464"/>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9"/>
      <c r="M18" s="2484"/>
      <c r="N18" s="2484"/>
      <c r="O18" s="2484"/>
      <c r="P18" s="3464"/>
      <c r="Q18" s="1260"/>
      <c r="R18" s="665"/>
      <c r="S18" s="666"/>
      <c r="T18" s="665"/>
      <c r="U18" s="666"/>
      <c r="V18" s="665"/>
      <c r="W18" s="666"/>
      <c r="X18" s="1262"/>
      <c r="Y18" s="3457"/>
      <c r="Z18" s="1261"/>
      <c r="AA18" s="1261">
        <v>1</v>
      </c>
      <c r="AB18" s="1261">
        <v>1</v>
      </c>
      <c r="AC18" s="1261">
        <v>1</v>
      </c>
    </row>
    <row r="19" spans="1:29" ht="41.4">
      <c r="A19" s="365"/>
      <c r="B19" s="388" t="s">
        <v>1778</v>
      </c>
      <c r="C19" s="1751" t="str">
        <f>估价对象房地状况!C7</f>
        <v>估价对象所在区域公共配套设施齐备情况较好</v>
      </c>
      <c r="D19" s="392">
        <v>100</v>
      </c>
      <c r="E19" s="394"/>
      <c r="F19" s="395">
        <f>SUMIF(80:80,E20,81:81)-SUMIF(80:80,C20,81:81)+100</f>
        <v>100</v>
      </c>
      <c r="G19" s="396"/>
      <c r="H19" s="387">
        <f>SUMIF(80:80,G20,81:81)-SUMIF(80:80,C20,81:81)+100</f>
        <v>100</v>
      </c>
      <c r="I19" s="394"/>
      <c r="J19" s="387">
        <f>SUMIF(80:80,I20,81:81)-SUMIF(80:80,C20,81:81)+100</f>
        <v>100</v>
      </c>
      <c r="K19" s="538"/>
      <c r="L19" s="2489"/>
      <c r="M19" s="2484"/>
      <c r="N19" s="2484"/>
      <c r="O19" s="2484"/>
      <c r="P19" s="3464"/>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9"/>
      <c r="M20" s="2484"/>
      <c r="N20" s="2484"/>
      <c r="O20" s="2484"/>
      <c r="P20" s="3464"/>
      <c r="Q20" s="1260"/>
      <c r="R20" s="665"/>
      <c r="S20" s="666"/>
      <c r="T20" s="665"/>
      <c r="U20" s="666"/>
      <c r="V20" s="665"/>
      <c r="W20" s="666"/>
      <c r="X20" s="1262"/>
      <c r="Y20" s="3457"/>
      <c r="Z20" s="1261"/>
      <c r="AA20" s="1261">
        <v>1</v>
      </c>
      <c r="AB20" s="1261">
        <v>1</v>
      </c>
      <c r="AC20" s="1261">
        <v>1</v>
      </c>
    </row>
    <row r="21" spans="1:29" ht="27.6">
      <c r="A21" s="365"/>
      <c r="B21" s="584" t="s">
        <v>1779</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9"/>
      <c r="M21" s="2484"/>
      <c r="N21" s="2484"/>
      <c r="O21" s="2484"/>
      <c r="P21" s="3464"/>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261">
        <f>D21/J21</f>
        <v>1</v>
      </c>
    </row>
    <row r="22" spans="1:29" ht="15">
      <c r="A22" s="365"/>
      <c r="B22" s="584"/>
      <c r="C22" s="1752"/>
      <c r="D22" s="385"/>
      <c r="E22" s="384"/>
      <c r="F22" s="386"/>
      <c r="G22" s="384"/>
      <c r="H22" s="385"/>
      <c r="I22" s="384"/>
      <c r="J22" s="385"/>
      <c r="K22" s="1061"/>
      <c r="L22" s="2489"/>
      <c r="M22" s="2484"/>
      <c r="N22" s="2484"/>
      <c r="O22" s="2484"/>
      <c r="P22" s="3464"/>
      <c r="Q22" s="1260"/>
      <c r="R22" s="665"/>
      <c r="S22" s="666"/>
      <c r="T22" s="665"/>
      <c r="U22" s="666"/>
      <c r="V22" s="665"/>
      <c r="W22" s="666"/>
      <c r="X22" s="1262"/>
      <c r="Y22" s="3457"/>
      <c r="Z22" s="1261"/>
      <c r="AA22" s="1261">
        <v>1</v>
      </c>
      <c r="AB22" s="1261">
        <v>1</v>
      </c>
      <c r="AC22" s="1261">
        <v>1</v>
      </c>
    </row>
    <row r="23" spans="1:29" ht="55.2">
      <c r="A23" s="365"/>
      <c r="B23" s="388" t="s">
        <v>1261</v>
      </c>
      <c r="C23" s="1803" t="str">
        <f>估价对象房地状况!C9</f>
        <v>区域自然环境：；人文环境；综合评价环境状况较好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9"/>
      <c r="M23" s="2484"/>
      <c r="N23" s="2484"/>
      <c r="O23" s="2484"/>
      <c r="P23" s="3464"/>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9"/>
      <c r="M24" s="2484"/>
      <c r="N24" s="2484"/>
      <c r="O24" s="2484"/>
      <c r="P24" s="3464"/>
      <c r="Q24" s="1260"/>
      <c r="R24" s="665"/>
      <c r="S24" s="666"/>
      <c r="T24" s="665"/>
      <c r="U24" s="666"/>
      <c r="V24" s="665"/>
      <c r="W24" s="666"/>
      <c r="X24" s="1262"/>
      <c r="Y24" s="3457"/>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9"/>
      <c r="M25" s="2484"/>
      <c r="N25" s="2484"/>
      <c r="O25" s="2484"/>
      <c r="P25" s="3464"/>
      <c r="Q25" s="1260" t="str">
        <f t="shared" ref="Q25:Q46" si="8">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9"/>
      <c r="M26" s="2484"/>
      <c r="N26" s="2484"/>
      <c r="O26" s="2484"/>
      <c r="P26" s="3464"/>
      <c r="Q26" s="1260" t="str">
        <f t="shared" si="8"/>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5"/>
      <c r="M27" s="2437"/>
      <c r="N27" s="2437"/>
      <c r="O27" s="2437"/>
      <c r="P27" s="3464"/>
      <c r="Q27" s="528" t="str">
        <f t="shared" si="8"/>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9"/>
      <c r="M28" s="2484"/>
      <c r="N28" s="2484"/>
      <c r="O28" s="2484"/>
      <c r="P28" s="3464"/>
      <c r="Q28" s="1260" t="str">
        <f t="shared" si="8"/>
        <v>楼层</v>
      </c>
      <c r="R28" s="665" t="s">
        <v>14</v>
      </c>
      <c r="S28" s="666">
        <f t="shared" ref="S28:S46" si="9">F28</f>
        <v>100</v>
      </c>
      <c r="T28" s="665" t="s">
        <v>14</v>
      </c>
      <c r="U28" s="666">
        <f t="shared" ref="U28:U46" si="10">H28</f>
        <v>100</v>
      </c>
      <c r="V28" s="665" t="s">
        <v>14</v>
      </c>
      <c r="W28" s="666">
        <f t="shared" ref="W28:W46" si="11">J28</f>
        <v>100</v>
      </c>
      <c r="X28" s="1262"/>
      <c r="Y28" s="3457"/>
      <c r="Z28" s="1261" t="str">
        <f t="shared" ref="Z28:Z46" si="12">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64"/>
      <c r="Q29" s="1260">
        <f t="shared" si="8"/>
        <v>111</v>
      </c>
      <c r="R29" s="665" t="s">
        <v>14</v>
      </c>
      <c r="S29" s="666">
        <f t="shared" si="9"/>
        <v>100</v>
      </c>
      <c r="T29" s="665" t="s">
        <v>14</v>
      </c>
      <c r="U29" s="666">
        <f t="shared" si="10"/>
        <v>100</v>
      </c>
      <c r="V29" s="665" t="s">
        <v>14</v>
      </c>
      <c r="W29" s="666">
        <f t="shared" si="11"/>
        <v>100</v>
      </c>
      <c r="X29" s="1262"/>
      <c r="Y29" s="3457"/>
      <c r="Z29" s="1261">
        <f t="shared" si="12"/>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64"/>
      <c r="Q30" s="1260">
        <f t="shared" si="8"/>
        <v>111</v>
      </c>
      <c r="R30" s="665" t="s">
        <v>14</v>
      </c>
      <c r="S30" s="666">
        <f t="shared" si="9"/>
        <v>100</v>
      </c>
      <c r="T30" s="665" t="s">
        <v>14</v>
      </c>
      <c r="U30" s="666">
        <f t="shared" si="10"/>
        <v>100</v>
      </c>
      <c r="V30" s="665" t="s">
        <v>14</v>
      </c>
      <c r="W30" s="666">
        <f t="shared" si="11"/>
        <v>100</v>
      </c>
      <c r="X30" s="1262"/>
      <c r="Y30" s="3457"/>
      <c r="Z30" s="1261">
        <f t="shared" si="12"/>
        <v>111</v>
      </c>
      <c r="AA30" s="1261">
        <f t="shared" si="3"/>
        <v>1</v>
      </c>
      <c r="AB30" s="1261">
        <f t="shared" si="4"/>
        <v>1</v>
      </c>
      <c r="AC30" s="1261">
        <f t="shared" si="5"/>
        <v>1</v>
      </c>
    </row>
    <row r="31" spans="1:29" ht="15.6"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64"/>
      <c r="Q31" s="1260">
        <f t="shared" si="8"/>
        <v>111</v>
      </c>
      <c r="R31" s="665" t="s">
        <v>14</v>
      </c>
      <c r="S31" s="666">
        <f t="shared" si="9"/>
        <v>100</v>
      </c>
      <c r="T31" s="665" t="s">
        <v>14</v>
      </c>
      <c r="U31" s="666">
        <f t="shared" si="10"/>
        <v>100</v>
      </c>
      <c r="V31" s="665" t="s">
        <v>14</v>
      </c>
      <c r="W31" s="666">
        <f t="shared" si="11"/>
        <v>100</v>
      </c>
      <c r="X31" s="1262"/>
      <c r="Y31" s="3457"/>
      <c r="Z31" s="1261">
        <f t="shared" si="12"/>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9"/>
      <c r="M32" s="2484"/>
      <c r="N32" s="2484"/>
      <c r="O32" s="2484"/>
      <c r="P32" s="3458" t="s">
        <v>1696</v>
      </c>
      <c r="Q32" s="1260" t="str">
        <f t="shared" si="8"/>
        <v>商业类型</v>
      </c>
      <c r="R32" s="665" t="s">
        <v>14</v>
      </c>
      <c r="S32" s="666">
        <f t="shared" si="9"/>
        <v>100</v>
      </c>
      <c r="T32" s="665" t="s">
        <v>14</v>
      </c>
      <c r="U32" s="666">
        <f t="shared" si="10"/>
        <v>100</v>
      </c>
      <c r="V32" s="665" t="s">
        <v>14</v>
      </c>
      <c r="W32" s="666">
        <f t="shared" si="11"/>
        <v>100</v>
      </c>
      <c r="X32" s="1262"/>
      <c r="Y32" s="3461"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8"/>
      <c r="M33" s="2490"/>
      <c r="N33" s="2490"/>
      <c r="O33" s="2490"/>
      <c r="P33" s="3459"/>
      <c r="Q33" s="529" t="str">
        <f t="shared" si="8"/>
        <v>项目建筑规模</v>
      </c>
      <c r="R33" s="667" t="s">
        <v>14</v>
      </c>
      <c r="S33" s="668" t="e">
        <f t="shared" si="9"/>
        <v>#N/A</v>
      </c>
      <c r="T33" s="667" t="s">
        <v>14</v>
      </c>
      <c r="U33" s="668" t="e">
        <f t="shared" si="10"/>
        <v>#N/A</v>
      </c>
      <c r="V33" s="667" t="s">
        <v>14</v>
      </c>
      <c r="W33" s="668" t="e">
        <f t="shared" si="11"/>
        <v>#N/A</v>
      </c>
      <c r="X33" s="669"/>
      <c r="Y33" s="3461"/>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9"/>
      <c r="M34" s="2484"/>
      <c r="N34" s="2484"/>
      <c r="O34" s="2484"/>
      <c r="P34" s="3459"/>
      <c r="Q34" s="1260" t="str">
        <f t="shared" si="8"/>
        <v>建筑结构</v>
      </c>
      <c r="R34" s="665" t="s">
        <v>14</v>
      </c>
      <c r="S34" s="666">
        <f t="shared" si="9"/>
        <v>100</v>
      </c>
      <c r="T34" s="665" t="s">
        <v>14</v>
      </c>
      <c r="U34" s="666">
        <f t="shared" si="10"/>
        <v>100</v>
      </c>
      <c r="V34" s="665" t="s">
        <v>14</v>
      </c>
      <c r="W34" s="666">
        <f t="shared" si="11"/>
        <v>100</v>
      </c>
      <c r="X34" s="1262"/>
      <c r="Y34" s="3461"/>
      <c r="Z34" s="1261" t="str">
        <f t="shared" si="12"/>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9"/>
      <c r="M35" s="2484"/>
      <c r="N35" s="2484"/>
      <c r="O35" s="2484"/>
      <c r="P35" s="3459"/>
      <c r="Q35" s="1260" t="str">
        <f t="shared" si="8"/>
        <v>公共部分装修</v>
      </c>
      <c r="R35" s="665" t="s">
        <v>14</v>
      </c>
      <c r="S35" s="666">
        <f t="shared" si="9"/>
        <v>100</v>
      </c>
      <c r="T35" s="665" t="s">
        <v>14</v>
      </c>
      <c r="U35" s="666">
        <f t="shared" si="10"/>
        <v>100</v>
      </c>
      <c r="V35" s="665" t="s">
        <v>14</v>
      </c>
      <c r="W35" s="666">
        <f t="shared" si="11"/>
        <v>100</v>
      </c>
      <c r="X35" s="1262"/>
      <c r="Y35" s="3461"/>
      <c r="Z35" s="1261" t="str">
        <f t="shared" si="12"/>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9"/>
      <c r="M36" s="2484"/>
      <c r="N36" s="2484"/>
      <c r="O36" s="2484"/>
      <c r="P36" s="3459"/>
      <c r="Q36" s="1260" t="str">
        <f t="shared" si="8"/>
        <v>成新度</v>
      </c>
      <c r="R36" s="665" t="s">
        <v>14</v>
      </c>
      <c r="S36" s="666" t="e">
        <f t="shared" si="9"/>
        <v>#N/A</v>
      </c>
      <c r="T36" s="665" t="s">
        <v>14</v>
      </c>
      <c r="U36" s="666" t="e">
        <f t="shared" si="10"/>
        <v>#N/A</v>
      </c>
      <c r="V36" s="665" t="s">
        <v>14</v>
      </c>
      <c r="W36" s="666" t="e">
        <f t="shared" si="11"/>
        <v>#N/A</v>
      </c>
      <c r="X36" s="1262"/>
      <c r="Y36" s="3461"/>
      <c r="Z36" s="1261" t="str">
        <f t="shared" si="12"/>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5"/>
      <c r="M37" s="2437"/>
      <c r="N37" s="2437"/>
      <c r="O37" s="2437"/>
      <c r="P37" s="3459"/>
      <c r="Q37" s="528" t="str">
        <f t="shared" si="8"/>
        <v>市政基础设施</v>
      </c>
      <c r="R37" s="662" t="s">
        <v>14</v>
      </c>
      <c r="S37" s="663">
        <f t="shared" si="9"/>
        <v>100</v>
      </c>
      <c r="T37" s="662" t="s">
        <v>14</v>
      </c>
      <c r="U37" s="663">
        <f t="shared" si="10"/>
        <v>100</v>
      </c>
      <c r="V37" s="662" t="s">
        <v>14</v>
      </c>
      <c r="W37" s="663">
        <f t="shared" si="11"/>
        <v>100</v>
      </c>
      <c r="X37" s="664"/>
      <c r="Y37" s="3461"/>
      <c r="Z37" s="50" t="str">
        <f t="shared" si="12"/>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9"/>
      <c r="M38" s="2484"/>
      <c r="N38" s="2484"/>
      <c r="O38" s="2484"/>
      <c r="P38" s="3459" t="s">
        <v>1696</v>
      </c>
      <c r="Q38" s="1260" t="str">
        <f t="shared" si="8"/>
        <v>业态</v>
      </c>
      <c r="R38" s="665" t="s">
        <v>14</v>
      </c>
      <c r="S38" s="666">
        <f t="shared" si="9"/>
        <v>100</v>
      </c>
      <c r="T38" s="665" t="s">
        <v>14</v>
      </c>
      <c r="U38" s="666">
        <f t="shared" si="10"/>
        <v>100</v>
      </c>
      <c r="V38" s="665" t="s">
        <v>14</v>
      </c>
      <c r="W38" s="666">
        <f t="shared" si="11"/>
        <v>100</v>
      </c>
      <c r="X38" s="1262"/>
      <c r="Y38" s="3461" t="s">
        <v>1696</v>
      </c>
      <c r="Z38" s="1261" t="str">
        <f t="shared" si="12"/>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9"/>
      <c r="M39" s="2484"/>
      <c r="N39" s="2484"/>
      <c r="O39" s="2484"/>
      <c r="P39" s="3459"/>
      <c r="Q39" s="1260" t="str">
        <f t="shared" si="8"/>
        <v>层高</v>
      </c>
      <c r="R39" s="665" t="s">
        <v>14</v>
      </c>
      <c r="S39" s="666">
        <f t="shared" si="9"/>
        <v>100</v>
      </c>
      <c r="T39" s="665" t="s">
        <v>14</v>
      </c>
      <c r="U39" s="666">
        <f t="shared" si="10"/>
        <v>100</v>
      </c>
      <c r="V39" s="665" t="s">
        <v>14</v>
      </c>
      <c r="W39" s="666">
        <f t="shared" si="11"/>
        <v>100</v>
      </c>
      <c r="X39" s="1262"/>
      <c r="Y39" s="3461"/>
      <c r="Z39" s="1261" t="str">
        <f t="shared" si="12"/>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59"/>
      <c r="Q40" s="1260" t="str">
        <f t="shared" si="8"/>
        <v>单套建筑面积</v>
      </c>
      <c r="R40" s="665" t="s">
        <v>14</v>
      </c>
      <c r="S40" s="666">
        <f t="shared" si="9"/>
        <v>100</v>
      </c>
      <c r="T40" s="665" t="s">
        <v>14</v>
      </c>
      <c r="U40" s="666">
        <f t="shared" si="10"/>
        <v>100</v>
      </c>
      <c r="V40" s="665" t="s">
        <v>14</v>
      </c>
      <c r="W40" s="666">
        <f t="shared" si="11"/>
        <v>100</v>
      </c>
      <c r="X40" s="1262"/>
      <c r="Y40" s="3461"/>
      <c r="Z40" s="1261" t="str">
        <f t="shared" si="12"/>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59"/>
      <c r="Q41" s="529" t="str">
        <f t="shared" si="8"/>
        <v>进深比</v>
      </c>
      <c r="R41" s="667" t="s">
        <v>14</v>
      </c>
      <c r="S41" s="668">
        <f t="shared" si="9"/>
        <v>100</v>
      </c>
      <c r="T41" s="667" t="s">
        <v>14</v>
      </c>
      <c r="U41" s="668">
        <f t="shared" si="10"/>
        <v>100</v>
      </c>
      <c r="V41" s="667" t="s">
        <v>14</v>
      </c>
      <c r="W41" s="668">
        <f t="shared" si="11"/>
        <v>100</v>
      </c>
      <c r="X41" s="669"/>
      <c r="Y41" s="3461"/>
      <c r="Z41" s="670" t="str">
        <f t="shared" si="12"/>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9"/>
      <c r="M42" s="2484"/>
      <c r="N42" s="2484"/>
      <c r="O42" s="2484"/>
      <c r="P42" s="3459"/>
      <c r="Q42" s="1260" t="str">
        <f t="shared" si="8"/>
        <v>内部装修</v>
      </c>
      <c r="R42" s="665" t="s">
        <v>14</v>
      </c>
      <c r="S42" s="666">
        <f t="shared" si="9"/>
        <v>100</v>
      </c>
      <c r="T42" s="665" t="s">
        <v>14</v>
      </c>
      <c r="U42" s="666">
        <f t="shared" si="10"/>
        <v>100</v>
      </c>
      <c r="V42" s="665" t="s">
        <v>14</v>
      </c>
      <c r="W42" s="666">
        <f t="shared" si="11"/>
        <v>100</v>
      </c>
      <c r="X42" s="1262"/>
      <c r="Y42" s="3461"/>
      <c r="Z42" s="1261" t="str">
        <f t="shared" si="12"/>
        <v>内部装修</v>
      </c>
      <c r="AA42" s="1261">
        <f t="shared" si="3"/>
        <v>1</v>
      </c>
      <c r="AB42" s="1261">
        <f t="shared" si="4"/>
        <v>1</v>
      </c>
      <c r="AC42" s="1261">
        <f t="shared" si="5"/>
        <v>1</v>
      </c>
    </row>
    <row r="43" spans="1:29" ht="28.8">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9"/>
      <c r="M43" s="2484"/>
      <c r="N43" s="2484"/>
      <c r="O43" s="2484"/>
      <c r="P43" s="3459"/>
      <c r="Q43" s="1260" t="str">
        <f t="shared" si="8"/>
        <v>内部装修维护情况</v>
      </c>
      <c r="R43" s="665" t="s">
        <v>14</v>
      </c>
      <c r="S43" s="666">
        <f t="shared" si="9"/>
        <v>100</v>
      </c>
      <c r="T43" s="665" t="s">
        <v>14</v>
      </c>
      <c r="U43" s="666">
        <f t="shared" si="10"/>
        <v>100</v>
      </c>
      <c r="V43" s="665" t="s">
        <v>14</v>
      </c>
      <c r="W43" s="666">
        <f t="shared" si="11"/>
        <v>100</v>
      </c>
      <c r="X43" s="1262"/>
      <c r="Y43" s="3461"/>
      <c r="Z43" s="1261" t="str">
        <f t="shared" si="12"/>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5"/>
      <c r="M44" s="2437"/>
      <c r="N44" s="2437"/>
      <c r="O44" s="2437"/>
      <c r="P44" s="3459"/>
      <c r="Q44" s="528">
        <f t="shared" si="8"/>
        <v>111</v>
      </c>
      <c r="R44" s="662" t="s">
        <v>14</v>
      </c>
      <c r="S44" s="663">
        <f t="shared" si="9"/>
        <v>100</v>
      </c>
      <c r="T44" s="662" t="s">
        <v>14</v>
      </c>
      <c r="U44" s="663">
        <f t="shared" si="10"/>
        <v>100</v>
      </c>
      <c r="V44" s="662" t="s">
        <v>14</v>
      </c>
      <c r="W44" s="663">
        <f t="shared" si="11"/>
        <v>100</v>
      </c>
      <c r="X44" s="664"/>
      <c r="Y44" s="3461"/>
      <c r="Z44" s="50">
        <f t="shared" si="12"/>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59"/>
      <c r="Q45" s="1260">
        <f t="shared" si="8"/>
        <v>111</v>
      </c>
      <c r="R45" s="665" t="s">
        <v>14</v>
      </c>
      <c r="S45" s="666">
        <f t="shared" si="9"/>
        <v>100</v>
      </c>
      <c r="T45" s="665" t="s">
        <v>14</v>
      </c>
      <c r="U45" s="666">
        <f t="shared" si="10"/>
        <v>100</v>
      </c>
      <c r="V45" s="665" t="s">
        <v>14</v>
      </c>
      <c r="W45" s="666">
        <f t="shared" si="11"/>
        <v>100</v>
      </c>
      <c r="X45" s="1262"/>
      <c r="Y45" s="3461"/>
      <c r="Z45" s="1261">
        <f t="shared" si="12"/>
        <v>111</v>
      </c>
      <c r="AA45" s="1261">
        <f t="shared" si="3"/>
        <v>1</v>
      </c>
      <c r="AB45" s="1261">
        <f t="shared" si="4"/>
        <v>1</v>
      </c>
      <c r="AC45" s="1261">
        <f t="shared" si="5"/>
        <v>1</v>
      </c>
    </row>
    <row r="46" spans="1:29" ht="15.6"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9"/>
      <c r="M46" s="2484"/>
      <c r="N46" s="2484"/>
      <c r="O46" s="2484"/>
      <c r="P46" s="3460"/>
      <c r="Q46" s="1260">
        <f t="shared" si="8"/>
        <v>111</v>
      </c>
      <c r="R46" s="665" t="s">
        <v>14</v>
      </c>
      <c r="S46" s="666">
        <f t="shared" si="9"/>
        <v>100</v>
      </c>
      <c r="T46" s="665" t="s">
        <v>14</v>
      </c>
      <c r="U46" s="666">
        <f t="shared" si="10"/>
        <v>100</v>
      </c>
      <c r="V46" s="665" t="s">
        <v>14</v>
      </c>
      <c r="W46" s="666">
        <f t="shared" si="11"/>
        <v>100</v>
      </c>
      <c r="X46" s="1262"/>
      <c r="Y46" s="3462"/>
      <c r="Z46" s="1261">
        <f t="shared" si="12"/>
        <v>111</v>
      </c>
      <c r="AA46" s="1261">
        <f t="shared" si="3"/>
        <v>1</v>
      </c>
      <c r="AB46" s="1261">
        <f t="shared" si="4"/>
        <v>1</v>
      </c>
      <c r="AC46" s="1261">
        <f t="shared" si="5"/>
        <v>1</v>
      </c>
    </row>
    <row r="47" spans="1:29" ht="14.4">
      <c r="A47" s="414" t="s">
        <v>1708</v>
      </c>
      <c r="B47" s="415"/>
      <c r="C47" s="1078" t="s">
        <v>0</v>
      </c>
      <c r="D47" s="416"/>
      <c r="E47" s="417"/>
      <c r="F47" s="418"/>
      <c r="G47" s="419"/>
      <c r="H47" s="420"/>
      <c r="I47" s="417"/>
      <c r="J47" s="420"/>
      <c r="K47" s="672"/>
      <c r="L47" s="2491"/>
      <c r="M47" s="2484"/>
      <c r="N47" s="2484"/>
      <c r="O47" s="2484"/>
      <c r="P47" s="3455" t="str">
        <f>A47</f>
        <v>成交单价（元/平方米）</v>
      </c>
      <c r="Q47" s="3455"/>
      <c r="R47" s="3450">
        <f>E47</f>
        <v>0</v>
      </c>
      <c r="S47" s="3450"/>
      <c r="T47" s="3450">
        <f>G47</f>
        <v>0</v>
      </c>
      <c r="U47" s="3450"/>
      <c r="V47" s="3450">
        <f>I47</f>
        <v>0</v>
      </c>
      <c r="W47" s="3450"/>
      <c r="X47" s="383"/>
      <c r="Y47" s="671"/>
      <c r="Z47" s="383"/>
      <c r="AA47" s="383"/>
      <c r="AB47" s="383"/>
      <c r="AC47" s="383"/>
    </row>
    <row r="48" spans="1:29" ht="15" thickBot="1">
      <c r="A48" s="421" t="s">
        <v>1793</v>
      </c>
      <c r="B48" s="422"/>
      <c r="C48" s="1079" t="e">
        <f>R49</f>
        <v>#DIV/0!</v>
      </c>
      <c r="D48" s="2138" t="s">
        <v>2138</v>
      </c>
      <c r="E48" s="1080" t="e">
        <f>R48</f>
        <v>#DIV/0!</v>
      </c>
      <c r="F48" s="2139"/>
      <c r="G48" s="1079" t="e">
        <f>T48</f>
        <v>#DIV/0!</v>
      </c>
      <c r="H48" s="2139"/>
      <c r="I48" s="1080" t="e">
        <f>V48</f>
        <v>#DIV/0!</v>
      </c>
      <c r="J48" s="2139"/>
      <c r="K48" s="2141">
        <f>F48+H48+J48</f>
        <v>0</v>
      </c>
      <c r="L48" s="2491"/>
      <c r="M48" s="2484"/>
      <c r="N48" s="2484"/>
      <c r="O48" s="2484"/>
      <c r="P48" s="3455" t="str">
        <f>A48</f>
        <v>比较价值（元/平方米）</v>
      </c>
      <c r="Q48" s="3455"/>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1"/>
      <c r="M49" s="2484"/>
      <c r="N49" s="2484"/>
      <c r="O49" s="248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6" t="s">
        <v>1798</v>
      </c>
      <c r="B57" s="383"/>
      <c r="C57" s="657"/>
      <c r="D57" s="657"/>
      <c r="E57" s="657"/>
      <c r="F57" s="658"/>
      <c r="G57" s="658"/>
      <c r="H57" s="657"/>
      <c r="I57" s="657"/>
      <c r="J57" s="657"/>
      <c r="K57" s="659"/>
      <c r="L57" s="885"/>
      <c r="M57" s="883"/>
      <c r="N57" s="883"/>
      <c r="O57" s="883"/>
      <c r="P57" s="2504"/>
      <c r="Q57" s="2505"/>
      <c r="R57" s="2484"/>
      <c r="S57" s="2484"/>
      <c r="T57" s="2484"/>
      <c r="U57" s="2484"/>
      <c r="V57" s="2484"/>
      <c r="W57" s="2484"/>
      <c r="X57" s="2484"/>
      <c r="Y57" s="2484"/>
      <c r="Z57" s="2484"/>
      <c r="AA57" s="2484"/>
      <c r="AB57" s="2484"/>
      <c r="AC57" s="2484"/>
    </row>
    <row r="58" spans="1:29" s="440" customFormat="1" ht="14.4">
      <c r="A58" s="438" t="s">
        <v>1679</v>
      </c>
      <c r="B58" s="439"/>
      <c r="C58" s="1100" t="str">
        <f>YEAR(C7)&amp;"-"&amp;MONTH(C7)</f>
        <v>2025-4</v>
      </c>
      <c r="D58" s="1101">
        <f>EDATE(C58,-1)</f>
        <v>45717</v>
      </c>
      <c r="E58" s="1101">
        <f t="shared" ref="E58:N58" si="13">EDATE(D58,-1)</f>
        <v>45689</v>
      </c>
      <c r="F58" s="1101">
        <f t="shared" si="13"/>
        <v>45658</v>
      </c>
      <c r="G58" s="1101">
        <f t="shared" si="13"/>
        <v>45627</v>
      </c>
      <c r="H58" s="1101">
        <f t="shared" si="13"/>
        <v>45597</v>
      </c>
      <c r="I58" s="1101">
        <f t="shared" si="13"/>
        <v>45566</v>
      </c>
      <c r="J58" s="1101">
        <f t="shared" si="13"/>
        <v>45536</v>
      </c>
      <c r="K58" s="1101">
        <f t="shared" si="13"/>
        <v>45505</v>
      </c>
      <c r="L58" s="1101">
        <f t="shared" si="13"/>
        <v>45474</v>
      </c>
      <c r="M58" s="1101">
        <f t="shared" si="13"/>
        <v>45444</v>
      </c>
      <c r="N58" s="1101">
        <f t="shared" si="13"/>
        <v>45413</v>
      </c>
      <c r="O58" s="1101">
        <f>EDATE(N58,-1)</f>
        <v>45383</v>
      </c>
      <c r="P58" s="2506"/>
      <c r="Q58" s="2507"/>
      <c r="R58" s="2507"/>
      <c r="S58" s="2507"/>
      <c r="T58" s="2507"/>
      <c r="U58" s="2507"/>
      <c r="V58" s="2507"/>
      <c r="W58" s="2507"/>
      <c r="X58" s="2507"/>
      <c r="Y58" s="2507"/>
      <c r="Z58" s="2507"/>
      <c r="AA58" s="2507"/>
      <c r="AB58" s="2507"/>
      <c r="AC58" s="2507"/>
    </row>
    <row r="59" spans="1:29" s="101" customFormat="1">
      <c r="A59" s="441"/>
      <c r="B59" s="442"/>
      <c r="C59" s="1099">
        <v>100</v>
      </c>
      <c r="D59" s="444"/>
      <c r="E59" s="444"/>
      <c r="F59" s="444"/>
      <c r="G59" s="444"/>
      <c r="H59" s="444"/>
      <c r="I59" s="444"/>
      <c r="J59" s="444"/>
      <c r="K59" s="444"/>
      <c r="L59" s="444"/>
      <c r="M59" s="445"/>
      <c r="N59" s="444"/>
      <c r="O59" s="445"/>
      <c r="P59" s="2508"/>
      <c r="Q59" s="2437"/>
      <c r="R59" s="2437"/>
      <c r="S59" s="2437"/>
      <c r="T59" s="2437"/>
      <c r="U59" s="2437"/>
      <c r="V59" s="2437"/>
      <c r="W59" s="2437"/>
      <c r="X59" s="2437"/>
      <c r="Y59" s="2437"/>
      <c r="Z59" s="2437"/>
      <c r="AA59" s="2437"/>
      <c r="AB59" s="2437"/>
      <c r="AC59" s="2437"/>
    </row>
    <row r="60" spans="1:29" s="101" customFormat="1" ht="15" thickBot="1">
      <c r="A60" s="447" t="s">
        <v>1716</v>
      </c>
      <c r="B60" s="448"/>
      <c r="C60" s="449"/>
      <c r="D60" s="450"/>
      <c r="E60" s="450"/>
      <c r="F60" s="450"/>
      <c r="G60" s="450"/>
      <c r="H60" s="450"/>
      <c r="I60" s="450"/>
      <c r="J60" s="450"/>
      <c r="K60" s="450"/>
      <c r="L60" s="450"/>
      <c r="M60" s="451"/>
      <c r="N60" s="450"/>
      <c r="O60" s="451"/>
      <c r="P60" s="2508"/>
      <c r="Q60" s="2505"/>
      <c r="R60" s="2437"/>
      <c r="S60" s="2437"/>
      <c r="T60" s="2437"/>
      <c r="U60" s="2437"/>
      <c r="V60" s="2437"/>
      <c r="W60" s="2437"/>
      <c r="X60" s="2437"/>
      <c r="Y60" s="2437"/>
      <c r="Z60" s="2437"/>
      <c r="AA60" s="2437"/>
      <c r="AB60" s="2437"/>
      <c r="AC60" s="2437"/>
    </row>
    <row r="61" spans="1:29" s="101" customFormat="1" ht="14.4">
      <c r="A61" s="453" t="s">
        <v>1681</v>
      </c>
      <c r="B61" s="442"/>
      <c r="C61" s="454" t="s">
        <v>1776</v>
      </c>
      <c r="D61" s="31"/>
      <c r="E61" s="31"/>
      <c r="F61" s="31"/>
      <c r="G61" s="31"/>
      <c r="H61" s="31"/>
      <c r="I61" s="31"/>
      <c r="J61" s="31"/>
      <c r="K61" s="31"/>
      <c r="L61" s="455"/>
      <c r="M61" s="456"/>
      <c r="N61" s="2517"/>
      <c r="O61" s="2517"/>
      <c r="P61" s="2509"/>
      <c r="Q61" s="2505"/>
      <c r="R61" s="2437"/>
      <c r="S61" s="2437"/>
      <c r="T61" s="2437"/>
      <c r="U61" s="2437"/>
      <c r="V61" s="2437"/>
      <c r="W61" s="2437"/>
      <c r="X61" s="2437"/>
      <c r="Y61" s="2437"/>
      <c r="Z61" s="2437"/>
      <c r="AA61" s="2437"/>
      <c r="AB61" s="2437"/>
      <c r="AC61" s="2437"/>
    </row>
    <row r="62" spans="1:29" s="101" customFormat="1" ht="14.4" thickBot="1">
      <c r="A62" s="453"/>
      <c r="B62" s="442"/>
      <c r="C62" s="443">
        <v>100</v>
      </c>
      <c r="D62" s="444"/>
      <c r="E62" s="444"/>
      <c r="F62" s="444"/>
      <c r="G62" s="444"/>
      <c r="H62" s="444"/>
      <c r="I62" s="444"/>
      <c r="J62" s="444"/>
      <c r="K62" s="444"/>
      <c r="L62" s="444"/>
      <c r="M62" s="446"/>
      <c r="N62" s="2517"/>
      <c r="O62" s="2517"/>
      <c r="P62" s="2508"/>
      <c r="Q62" s="2505"/>
      <c r="R62" s="2437"/>
      <c r="S62" s="2437"/>
      <c r="T62" s="2437"/>
      <c r="U62" s="2437"/>
      <c r="V62" s="2437"/>
      <c r="W62" s="2437"/>
      <c r="X62" s="2437"/>
      <c r="Y62" s="2437"/>
      <c r="Z62" s="2437"/>
      <c r="AA62" s="2437"/>
      <c r="AB62" s="2437"/>
      <c r="AC62" s="2437"/>
    </row>
    <row r="63" spans="1:29" ht="14.4">
      <c r="A63" s="377"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4.4"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9.4"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4.4"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c r="A68" s="365"/>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4.4"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9"/>
      <c r="O69" s="2519"/>
      <c r="P69" s="2510"/>
      <c r="Q69" s="2505"/>
      <c r="R69" s="2484"/>
      <c r="S69" s="2484"/>
      <c r="T69" s="2484"/>
      <c r="U69" s="2484"/>
      <c r="V69" s="2484"/>
      <c r="W69" s="2484"/>
      <c r="X69" s="2484"/>
      <c r="Y69" s="2484"/>
      <c r="Z69" s="2484"/>
      <c r="AA69" s="2484"/>
      <c r="AB69" s="2484"/>
      <c r="AC69" s="2484"/>
    </row>
    <row r="70" spans="1:29" s="406" customFormat="1" ht="14.4"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4.4"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4.4"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4.4"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4.4"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4.4"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ht="14.4">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 thickTop="1">
      <c r="A82" s="365"/>
      <c r="B82" s="475" t="s">
        <v>1779</v>
      </c>
      <c r="C82" s="579" t="s">
        <v>1799</v>
      </c>
      <c r="D82" s="579" t="s">
        <v>1800</v>
      </c>
      <c r="E82" s="579" t="s">
        <v>1801</v>
      </c>
      <c r="F82" s="579" t="s">
        <v>1802</v>
      </c>
      <c r="G82" s="579" t="s">
        <v>1803</v>
      </c>
      <c r="H82" s="468"/>
      <c r="I82" s="468"/>
      <c r="J82" s="468"/>
      <c r="K82" s="468"/>
      <c r="L82" s="468"/>
      <c r="M82" s="1060"/>
      <c r="N82" s="2519"/>
      <c r="O82" s="2519"/>
      <c r="P82" s="2510"/>
      <c r="Q82" s="2505"/>
      <c r="R82" s="2484"/>
      <c r="S82" s="2484"/>
      <c r="T82" s="2484"/>
      <c r="U82" s="2484"/>
      <c r="V82" s="2484"/>
      <c r="W82" s="2484"/>
      <c r="X82" s="2484"/>
      <c r="Y82" s="2484"/>
      <c r="Z82" s="2484"/>
      <c r="AA82" s="2484"/>
      <c r="AB82" s="2484"/>
      <c r="AC82" s="2484"/>
    </row>
    <row r="83" spans="1:29" ht="14.4" thickBot="1">
      <c r="A83" s="365"/>
      <c r="B83" s="475"/>
      <c r="C83" s="473">
        <v>100</v>
      </c>
      <c r="D83" s="473">
        <f>C83-$K21</f>
        <v>100</v>
      </c>
      <c r="E83" s="473">
        <f>D83-$K21</f>
        <v>100</v>
      </c>
      <c r="F83" s="473">
        <f>E83-$K21</f>
        <v>100</v>
      </c>
      <c r="G83" s="473">
        <f>F83-$K21</f>
        <v>100</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1" customFormat="1" ht="15" thickTop="1">
      <c r="A86" s="368"/>
      <c r="B86" s="467" t="s">
        <v>1804</v>
      </c>
      <c r="C86" s="483"/>
      <c r="D86" s="483"/>
      <c r="E86" s="483"/>
      <c r="F86" s="483"/>
      <c r="G86" s="483"/>
      <c r="H86" s="483"/>
      <c r="I86" s="483"/>
      <c r="J86" s="483"/>
      <c r="K86" s="483"/>
      <c r="L86" s="508"/>
      <c r="M86" s="509"/>
      <c r="N86" s="2517"/>
      <c r="O86" s="2517"/>
      <c r="P86" s="2510"/>
      <c r="Q86" s="2505"/>
      <c r="R86" s="2437"/>
      <c r="S86" s="2437"/>
      <c r="T86" s="2437"/>
      <c r="U86" s="2437"/>
      <c r="V86" s="2437"/>
      <c r="W86" s="2437"/>
      <c r="X86" s="2437"/>
      <c r="Y86" s="2437"/>
      <c r="Z86" s="2437"/>
      <c r="AA86" s="2437"/>
      <c r="AB86" s="2437"/>
      <c r="AC86" s="2437"/>
    </row>
    <row r="87" spans="1:29" s="101" customFormat="1" ht="14.4"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8"/>
      <c r="B88" s="467" t="str">
        <f>B26</f>
        <v>平面位置/可视性</v>
      </c>
      <c r="C88" s="483"/>
      <c r="D88" s="483"/>
      <c r="E88" s="483"/>
      <c r="F88" s="1777"/>
      <c r="G88" s="483"/>
      <c r="H88" s="483"/>
      <c r="I88" s="483"/>
      <c r="J88" s="483"/>
      <c r="K88" s="483"/>
      <c r="L88" s="483"/>
      <c r="M88" s="509"/>
      <c r="N88" s="2517"/>
      <c r="O88" s="2517"/>
      <c r="P88" s="2510"/>
      <c r="Q88" s="2505"/>
      <c r="R88" s="2437"/>
      <c r="S88" s="2437"/>
      <c r="T88" s="2437"/>
      <c r="U88" s="2437"/>
      <c r="V88" s="2437"/>
      <c r="W88" s="2437"/>
      <c r="X88" s="2437"/>
      <c r="Y88" s="2437"/>
      <c r="Z88" s="2437"/>
      <c r="AA88" s="2437"/>
      <c r="AB88" s="2437"/>
      <c r="AC88" s="2437"/>
    </row>
    <row r="89" spans="1:29" s="101" customFormat="1" ht="14.4" thickBot="1">
      <c r="A89" s="368"/>
      <c r="B89" s="472"/>
      <c r="C89" s="489"/>
      <c r="D89" s="465"/>
      <c r="E89" s="465"/>
      <c r="F89" s="465"/>
      <c r="G89" s="465"/>
      <c r="H89" s="465"/>
      <c r="I89" s="465"/>
      <c r="J89" s="465"/>
      <c r="K89" s="465"/>
      <c r="L89" s="465"/>
      <c r="M89" s="465"/>
      <c r="N89" s="2519"/>
      <c r="O89" s="2519"/>
      <c r="P89" s="2510"/>
      <c r="Q89" s="2505"/>
      <c r="R89" s="2437"/>
      <c r="S89" s="2437"/>
      <c r="T89" s="2437"/>
      <c r="U89" s="2437"/>
      <c r="V89" s="2437"/>
      <c r="W89" s="2437"/>
      <c r="X89" s="2437"/>
      <c r="Y89" s="2437"/>
      <c r="Z89" s="2437"/>
      <c r="AA89" s="2437"/>
      <c r="AB89" s="2437"/>
      <c r="AC89" s="2437"/>
    </row>
    <row r="90" spans="1:29" s="406" customFormat="1" ht="14.4"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4.4"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20"/>
      <c r="O91" s="2520"/>
      <c r="P91" s="2511"/>
      <c r="Q91" s="2512"/>
      <c r="R91" s="2490"/>
      <c r="S91" s="2490"/>
      <c r="T91" s="2490"/>
      <c r="U91" s="2490"/>
      <c r="V91" s="2490"/>
      <c r="W91" s="2490"/>
      <c r="X91" s="2490"/>
      <c r="Y91" s="2490"/>
      <c r="Z91" s="2490"/>
      <c r="AA91" s="2490"/>
      <c r="AB91" s="2490"/>
      <c r="AC91" s="2490"/>
    </row>
    <row r="92" spans="1:29" ht="14.4" thickTop="1">
      <c r="A92" s="365"/>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4.4" thickBot="1">
      <c r="A93" s="365"/>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4.4"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4.4"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4.4"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4.4"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4.4"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4.4"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ht="14.4">
      <c r="A100" s="377"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4.4"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5"/>
      <c r="B102" s="467" t="s">
        <v>1737</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4.4"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4.4"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4.4"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4.4"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4.4"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4.4"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4.4"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4.4"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4.4"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4.4"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4.4"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4.4"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4.4"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4.4"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4.4"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52:F54 H52:H54">
    <cfRule type="containsText" dxfId="76" priority="17" stopIfTrue="1" operator="containsText" text="超过">
      <formula>NOT(ISERROR(SEARCH("超过",F52)))</formula>
    </cfRule>
  </conditionalFormatting>
  <conditionalFormatting sqref="G52">
    <cfRule type="expression" dxfId="75" priority="12" stopIfTrue="1">
      <formula>$H$52="超过30%"</formula>
    </cfRule>
  </conditionalFormatting>
  <conditionalFormatting sqref="G53">
    <cfRule type="expression" dxfId="74" priority="11" stopIfTrue="1">
      <formula>$H$53="超过20%"</formula>
    </cfRule>
  </conditionalFormatting>
  <conditionalFormatting sqref="G54">
    <cfRule type="expression" dxfId="73" priority="13" stopIfTrue="1">
      <formula>$H$54="超过30%"</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1810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21949.910000000098</v>
      </c>
      <c r="E3" s="1802"/>
      <c r="F3" s="853"/>
      <c r="G3" s="852"/>
      <c r="H3" s="852"/>
      <c r="I3" s="852"/>
      <c r="J3" s="852"/>
      <c r="K3" s="854"/>
      <c r="L3" s="2500"/>
      <c r="M3" s="2501"/>
      <c r="N3" s="2501"/>
      <c r="O3" s="2501"/>
      <c r="P3" s="339"/>
      <c r="Q3" s="339"/>
      <c r="R3" s="339"/>
      <c r="S3" s="339"/>
      <c r="T3" s="339"/>
      <c r="U3" s="339"/>
      <c r="V3" s="339"/>
      <c r="W3" s="339"/>
      <c r="X3" s="339"/>
      <c r="Y3" s="339"/>
      <c r="Z3" s="339"/>
      <c r="AA3" s="339"/>
      <c r="AB3" s="339"/>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71" t="s">
        <v>1775</v>
      </c>
      <c r="Q4" s="3472"/>
      <c r="R4" s="3466" t="s">
        <v>1771</v>
      </c>
      <c r="S4" s="3467"/>
      <c r="T4" s="3466" t="s">
        <v>1772</v>
      </c>
      <c r="U4" s="3467"/>
      <c r="V4" s="3475" t="s">
        <v>1773</v>
      </c>
      <c r="W4" s="3475"/>
      <c r="X4" s="1806"/>
      <c r="Y4" s="3466" t="s">
        <v>1775</v>
      </c>
      <c r="Z4" s="3467"/>
      <c r="AA4" s="3465" t="s">
        <v>1771</v>
      </c>
      <c r="AB4" s="3465" t="s">
        <v>1772</v>
      </c>
      <c r="AC4" s="3468" t="s">
        <v>1773</v>
      </c>
    </row>
    <row r="5" spans="1:29">
      <c r="A5" s="346"/>
      <c r="B5" s="347"/>
      <c r="C5" s="3431" t="s">
        <v>1673</v>
      </c>
      <c r="D5" s="3432"/>
      <c r="E5" s="3429" t="s">
        <v>1674</v>
      </c>
      <c r="F5" s="3430"/>
      <c r="G5" s="3431" t="s">
        <v>1675</v>
      </c>
      <c r="H5" s="3432"/>
      <c r="I5" s="3431" t="s">
        <v>1676</v>
      </c>
      <c r="J5" s="3432"/>
      <c r="K5" s="535"/>
      <c r="L5" s="2483"/>
      <c r="M5" s="2484"/>
      <c r="N5" s="2484"/>
      <c r="O5" s="2484"/>
      <c r="P5" s="3473"/>
      <c r="Q5" s="3445"/>
      <c r="R5" s="3427"/>
      <c r="S5" s="3428"/>
      <c r="T5" s="3427"/>
      <c r="U5" s="3428"/>
      <c r="V5" s="3450"/>
      <c r="W5" s="3450"/>
      <c r="X5" s="1262"/>
      <c r="Y5" s="3427"/>
      <c r="Z5" s="3428"/>
      <c r="AA5" s="3421"/>
      <c r="AB5" s="3421"/>
      <c r="AC5" s="3469"/>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74"/>
      <c r="Q6" s="3447"/>
      <c r="R6" s="3427"/>
      <c r="S6" s="3428"/>
      <c r="T6" s="3448"/>
      <c r="U6" s="3449"/>
      <c r="V6" s="3450"/>
      <c r="W6" s="3450"/>
      <c r="X6" s="1262"/>
      <c r="Y6" s="3448"/>
      <c r="Z6" s="3449"/>
      <c r="AA6" s="3422"/>
      <c r="AB6" s="3422"/>
      <c r="AC6" s="3470"/>
    </row>
    <row r="7" spans="1:29" s="101" customFormat="1" ht="15" thickBot="1">
      <c r="A7" s="350" t="s">
        <v>1679</v>
      </c>
      <c r="B7" s="351"/>
      <c r="C7" s="352">
        <f>'数据-取费表'!B2</f>
        <v>45762</v>
      </c>
      <c r="D7" s="353">
        <v>100</v>
      </c>
      <c r="E7" s="354"/>
      <c r="F7" s="355">
        <f>SUMIF(59:59,YEAR(E7)&amp;"-"&amp;MONTH(E7),60:60)</f>
        <v>0</v>
      </c>
      <c r="G7" s="354"/>
      <c r="H7" s="353">
        <f>SUMIF(59:59,YEAR(G7)&amp;"-"&amp;MONTH(G7),60:60)</f>
        <v>0</v>
      </c>
      <c r="I7" s="354"/>
      <c r="J7" s="353">
        <f>SUMIF(59:59,YEAR(I7)&amp;"-"&amp;MONTH(I7),60:60)</f>
        <v>0</v>
      </c>
      <c r="K7" s="38"/>
      <c r="L7" s="2485"/>
      <c r="M7" s="2437"/>
      <c r="N7" s="2437"/>
      <c r="O7" s="2437"/>
      <c r="P7" s="3476"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799"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7"/>
      <c r="N8" s="2437"/>
      <c r="O8" s="2437"/>
      <c r="P8" s="3476" t="s">
        <v>1683</v>
      </c>
      <c r="Q8" s="3424"/>
      <c r="R8" s="662" t="s">
        <v>14</v>
      </c>
      <c r="S8" s="663">
        <f t="shared" si="0"/>
        <v>100</v>
      </c>
      <c r="T8" s="662" t="s">
        <v>14</v>
      </c>
      <c r="U8" s="663">
        <f t="shared" si="1"/>
        <v>100</v>
      </c>
      <c r="V8" s="662" t="s">
        <v>14</v>
      </c>
      <c r="W8" s="663">
        <f t="shared" si="2"/>
        <v>100</v>
      </c>
      <c r="X8" s="664"/>
      <c r="Y8" s="3423" t="s">
        <v>1683</v>
      </c>
      <c r="Z8" s="3424"/>
      <c r="AA8" s="50">
        <f t="shared" ref="AA8:AA47" si="3">D8/F8</f>
        <v>1</v>
      </c>
      <c r="AB8" s="50">
        <f t="shared" ref="AB8:AB47" si="4">D8/H8</f>
        <v>1</v>
      </c>
      <c r="AC8" s="799">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7"/>
      <c r="N9" s="2437"/>
      <c r="O9" s="2437"/>
      <c r="P9" s="3437"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799">
        <f t="shared" si="5"/>
        <v>1</v>
      </c>
    </row>
    <row r="10" spans="1:29" s="364" customFormat="1" ht="28.8">
      <c r="A10" s="361"/>
      <c r="B10" s="362" t="s">
        <v>1688</v>
      </c>
      <c r="C10" s="3129"/>
      <c r="D10" s="117">
        <v>100</v>
      </c>
      <c r="E10" s="3129"/>
      <c r="F10" s="117">
        <f>SUMIF(66:66,E10,67:67)-SUMIF(66:66,C10,67:67)+100</f>
        <v>100</v>
      </c>
      <c r="G10" s="3130"/>
      <c r="H10" s="117">
        <f>SUMIF(66:66,G10,67:67)-SUMIF(66:66,C10,67:67)+100</f>
        <v>100</v>
      </c>
      <c r="I10" s="3129"/>
      <c r="J10" s="117">
        <f>SUMIF(66:66,I10,67:67)-SUMIF(66:66,C10,67:67)+100</f>
        <v>100</v>
      </c>
      <c r="K10" s="38"/>
      <c r="L10" s="2486"/>
      <c r="M10" s="2487"/>
      <c r="N10" s="2487"/>
      <c r="O10" s="2487"/>
      <c r="P10" s="3437"/>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8"/>
      <c r="M11" s="2484"/>
      <c r="N11" s="2484"/>
      <c r="O11" s="2484"/>
      <c r="P11" s="3437"/>
      <c r="Q11" s="528"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5"/>
      <c r="M12" s="2437"/>
      <c r="N12" s="2437"/>
      <c r="O12" s="2437"/>
      <c r="P12" s="3437"/>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9"/>
      <c r="M13" s="2484"/>
      <c r="N13" s="2484"/>
      <c r="O13" s="2484"/>
      <c r="P13" s="3437"/>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799">
        <f t="shared" si="5"/>
        <v>1</v>
      </c>
    </row>
    <row r="14" spans="1:29" ht="15.6"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9"/>
      <c r="M14" s="2484"/>
      <c r="N14" s="2484"/>
      <c r="O14" s="2484"/>
      <c r="P14" s="3437"/>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799">
        <f t="shared" si="5"/>
        <v>1</v>
      </c>
    </row>
    <row r="15" spans="1:29" ht="15">
      <c r="A15" s="377" t="s">
        <v>1690</v>
      </c>
      <c r="B15" s="552" t="s">
        <v>1811</v>
      </c>
      <c r="C15" s="1808">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63"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9"/>
      <c r="M16" s="2484"/>
      <c r="N16" s="2484"/>
      <c r="O16" s="2484"/>
      <c r="P16" s="3464"/>
      <c r="Q16" s="1260"/>
      <c r="R16" s="665"/>
      <c r="S16" s="666"/>
      <c r="T16" s="665"/>
      <c r="U16" s="666"/>
      <c r="V16" s="665"/>
      <c r="W16" s="666"/>
      <c r="X16" s="1262"/>
      <c r="Y16" s="3457"/>
      <c r="Z16" s="1261"/>
      <c r="AA16" s="1261">
        <v>1</v>
      </c>
      <c r="AB16" s="1261">
        <v>1</v>
      </c>
      <c r="AC16" s="1809">
        <v>1</v>
      </c>
    </row>
    <row r="17" spans="1:29" ht="82.8">
      <c r="A17" s="365"/>
      <c r="B17" s="554" t="s">
        <v>1259</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64"/>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9"/>
      <c r="M18" s="2484"/>
      <c r="N18" s="2484"/>
      <c r="O18" s="2484"/>
      <c r="P18" s="3464"/>
      <c r="Q18" s="1260"/>
      <c r="R18" s="665"/>
      <c r="S18" s="666"/>
      <c r="T18" s="665"/>
      <c r="U18" s="666"/>
      <c r="V18" s="665"/>
      <c r="W18" s="666"/>
      <c r="X18" s="1262"/>
      <c r="Y18" s="3457"/>
      <c r="Z18" s="1261"/>
      <c r="AA18" s="1261">
        <v>1</v>
      </c>
      <c r="AB18" s="1261">
        <v>1</v>
      </c>
      <c r="AC18" s="1809">
        <v>1</v>
      </c>
    </row>
    <row r="19" spans="1:29" ht="41.4">
      <c r="A19" s="365"/>
      <c r="B19" s="554" t="s">
        <v>1812</v>
      </c>
      <c r="C19" s="1810" t="str">
        <f>估价对象房地状况!C7</f>
        <v>估价对象所在区域公共配套设施齐备情况较好</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64"/>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9"/>
      <c r="M20" s="2484"/>
      <c r="N20" s="2484"/>
      <c r="O20" s="2484"/>
      <c r="P20" s="3464"/>
      <c r="Q20" s="1260"/>
      <c r="R20" s="665"/>
      <c r="S20" s="666"/>
      <c r="T20" s="665"/>
      <c r="U20" s="666"/>
      <c r="V20" s="665"/>
      <c r="W20" s="666"/>
      <c r="X20" s="1262"/>
      <c r="Y20" s="3457"/>
      <c r="Z20" s="1261"/>
      <c r="AA20" s="1261">
        <v>1</v>
      </c>
      <c r="AB20" s="1261">
        <v>1</v>
      </c>
      <c r="AC20" s="1809">
        <v>1</v>
      </c>
    </row>
    <row r="21" spans="1:29" ht="27.6">
      <c r="A21" s="365"/>
      <c r="B21" s="555" t="s">
        <v>1813</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64"/>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809">
        <f>D21/J21</f>
        <v>1</v>
      </c>
    </row>
    <row r="22" spans="1:29" ht="15">
      <c r="A22" s="365"/>
      <c r="B22" s="555"/>
      <c r="C22" s="1811"/>
      <c r="D22" s="385"/>
      <c r="E22" s="384"/>
      <c r="F22" s="385"/>
      <c r="G22" s="1755"/>
      <c r="H22" s="385"/>
      <c r="I22" s="1755"/>
      <c r="J22" s="385"/>
      <c r="K22" s="1061"/>
      <c r="L22" s="2489"/>
      <c r="M22" s="2484"/>
      <c r="N22" s="2484"/>
      <c r="O22" s="2484"/>
      <c r="P22" s="3464"/>
      <c r="Q22" s="1260"/>
      <c r="R22" s="665"/>
      <c r="S22" s="666"/>
      <c r="T22" s="665"/>
      <c r="U22" s="666"/>
      <c r="V22" s="665"/>
      <c r="W22" s="666"/>
      <c r="X22" s="1262"/>
      <c r="Y22" s="3457"/>
      <c r="Z22" s="1261"/>
      <c r="AA22" s="1261">
        <v>1</v>
      </c>
      <c r="AB22" s="1261">
        <v>1</v>
      </c>
      <c r="AC22" s="1809">
        <v>1</v>
      </c>
    </row>
    <row r="23" spans="1:29" ht="55.2">
      <c r="A23" s="365"/>
      <c r="B23" s="554" t="s">
        <v>1814</v>
      </c>
      <c r="C23" s="1810" t="str">
        <f>估价对象房地状况!C9</f>
        <v>区域自然环境：；人文环境；综合评价环境状况较好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64"/>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9"/>
      <c r="M24" s="2484"/>
      <c r="N24" s="2484"/>
      <c r="O24" s="2484"/>
      <c r="P24" s="3464"/>
      <c r="Q24" s="1260"/>
      <c r="R24" s="665"/>
      <c r="S24" s="666"/>
      <c r="T24" s="665"/>
      <c r="U24" s="666"/>
      <c r="V24" s="665"/>
      <c r="W24" s="666"/>
      <c r="X24" s="1262"/>
      <c r="Y24" s="3457"/>
      <c r="Z24" s="1261"/>
      <c r="AA24" s="1261">
        <v>1</v>
      </c>
      <c r="AB24" s="1261">
        <v>1</v>
      </c>
      <c r="AC24" s="1809">
        <v>1</v>
      </c>
    </row>
    <row r="25" spans="1:29" ht="28.8">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9"/>
      <c r="M25" s="2484"/>
      <c r="N25" s="2484"/>
      <c r="O25" s="2484"/>
      <c r="P25" s="3464"/>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9"/>
      <c r="M26" s="2484"/>
      <c r="N26" s="2484"/>
      <c r="O26" s="2484"/>
      <c r="P26" s="3464"/>
      <c r="Q26" s="1260"/>
      <c r="R26" s="665"/>
      <c r="S26" s="666"/>
      <c r="T26" s="665"/>
      <c r="U26" s="666"/>
      <c r="V26" s="665"/>
      <c r="W26" s="666"/>
      <c r="X26" s="1262"/>
      <c r="Y26" s="3457"/>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64"/>
      <c r="Q27" s="1260" t="str">
        <f t="shared" ref="Q27:Q47" si="8">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5"/>
      <c r="M28" s="2437"/>
      <c r="N28" s="2437"/>
      <c r="O28" s="2437"/>
      <c r="P28" s="3464"/>
      <c r="Q28" s="528" t="str">
        <f t="shared" si="8"/>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9"/>
      <c r="M29" s="2484"/>
      <c r="N29" s="2484"/>
      <c r="O29" s="2484"/>
      <c r="P29" s="3464"/>
      <c r="Q29" s="1260">
        <f t="shared" si="8"/>
        <v>111</v>
      </c>
      <c r="R29" s="665" t="s">
        <v>14</v>
      </c>
      <c r="S29" s="666">
        <f t="shared" ref="S29:S47" si="9">F29</f>
        <v>100</v>
      </c>
      <c r="T29" s="665" t="s">
        <v>14</v>
      </c>
      <c r="U29" s="666">
        <f t="shared" ref="U29:U47" si="10">H29</f>
        <v>100</v>
      </c>
      <c r="V29" s="665" t="s">
        <v>14</v>
      </c>
      <c r="W29" s="666">
        <f t="shared" ref="W29:W47" si="11">J29</f>
        <v>100</v>
      </c>
      <c r="X29" s="1262"/>
      <c r="Y29" s="3457"/>
      <c r="Z29" s="1261">
        <f t="shared" ref="Z29:Z47" si="12">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9"/>
      <c r="M30" s="2484"/>
      <c r="N30" s="2484"/>
      <c r="O30" s="2484"/>
      <c r="P30" s="3464"/>
      <c r="Q30" s="1260">
        <f t="shared" si="8"/>
        <v>111</v>
      </c>
      <c r="R30" s="665" t="s">
        <v>14</v>
      </c>
      <c r="S30" s="666">
        <f t="shared" si="9"/>
        <v>100</v>
      </c>
      <c r="T30" s="665" t="s">
        <v>14</v>
      </c>
      <c r="U30" s="666">
        <f t="shared" si="10"/>
        <v>100</v>
      </c>
      <c r="V30" s="665" t="s">
        <v>14</v>
      </c>
      <c r="W30" s="666">
        <f t="shared" si="11"/>
        <v>100</v>
      </c>
      <c r="X30" s="1262"/>
      <c r="Y30" s="3457"/>
      <c r="Z30" s="1261">
        <f t="shared" si="12"/>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9"/>
      <c r="M31" s="2484"/>
      <c r="N31" s="2484"/>
      <c r="O31" s="2484"/>
      <c r="P31" s="3464"/>
      <c r="Q31" s="1260">
        <f t="shared" si="8"/>
        <v>111</v>
      </c>
      <c r="R31" s="665" t="s">
        <v>14</v>
      </c>
      <c r="S31" s="666">
        <f t="shared" si="9"/>
        <v>100</v>
      </c>
      <c r="T31" s="665" t="s">
        <v>14</v>
      </c>
      <c r="U31" s="666">
        <f t="shared" si="10"/>
        <v>100</v>
      </c>
      <c r="V31" s="665" t="s">
        <v>14</v>
      </c>
      <c r="W31" s="666">
        <f t="shared" si="11"/>
        <v>100</v>
      </c>
      <c r="X31" s="1262"/>
      <c r="Y31" s="3457"/>
      <c r="Z31" s="1261">
        <f t="shared" si="12"/>
        <v>111</v>
      </c>
      <c r="AA31" s="1261">
        <f t="shared" si="3"/>
        <v>1</v>
      </c>
      <c r="AB31" s="1261">
        <f t="shared" si="4"/>
        <v>1</v>
      </c>
      <c r="AC31" s="1809">
        <f t="shared" si="5"/>
        <v>1</v>
      </c>
    </row>
    <row r="32" spans="1:29" ht="15.6"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9"/>
      <c r="M32" s="2484"/>
      <c r="N32" s="2484"/>
      <c r="O32" s="2484"/>
      <c r="P32" s="3464"/>
      <c r="Q32" s="1260">
        <f t="shared" si="8"/>
        <v>111</v>
      </c>
      <c r="R32" s="665" t="s">
        <v>14</v>
      </c>
      <c r="S32" s="666">
        <f t="shared" si="9"/>
        <v>100</v>
      </c>
      <c r="T32" s="665" t="s">
        <v>14</v>
      </c>
      <c r="U32" s="666">
        <f t="shared" si="10"/>
        <v>100</v>
      </c>
      <c r="V32" s="665" t="s">
        <v>14</v>
      </c>
      <c r="W32" s="666">
        <f t="shared" si="11"/>
        <v>100</v>
      </c>
      <c r="X32" s="1262"/>
      <c r="Y32" s="3457"/>
      <c r="Z32" s="1261">
        <f t="shared" si="12"/>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9"/>
      <c r="M33" s="2484"/>
      <c r="N33" s="2484"/>
      <c r="O33" s="2484"/>
      <c r="P33" s="3458" t="s">
        <v>1696</v>
      </c>
      <c r="Q33" s="1260" t="str">
        <f t="shared" si="8"/>
        <v>建筑类型</v>
      </c>
      <c r="R33" s="665" t="s">
        <v>14</v>
      </c>
      <c r="S33" s="666">
        <f t="shared" si="9"/>
        <v>100</v>
      </c>
      <c r="T33" s="665" t="s">
        <v>14</v>
      </c>
      <c r="U33" s="666">
        <f t="shared" si="10"/>
        <v>100</v>
      </c>
      <c r="V33" s="665" t="s">
        <v>14</v>
      </c>
      <c r="W33" s="666">
        <f t="shared" si="11"/>
        <v>100</v>
      </c>
      <c r="X33" s="1262"/>
      <c r="Y33" s="3461" t="s">
        <v>1696</v>
      </c>
      <c r="Z33" s="1261" t="str">
        <f t="shared" si="12"/>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8"/>
      <c r="M34" s="2490"/>
      <c r="N34" s="2490"/>
      <c r="O34" s="2490"/>
      <c r="P34" s="3459"/>
      <c r="Q34" s="529" t="str">
        <f t="shared" si="8"/>
        <v>项目建筑规模</v>
      </c>
      <c r="R34" s="667" t="s">
        <v>14</v>
      </c>
      <c r="S34" s="668" t="e">
        <f t="shared" si="9"/>
        <v>#N/A</v>
      </c>
      <c r="T34" s="667" t="s">
        <v>14</v>
      </c>
      <c r="U34" s="668" t="e">
        <f t="shared" si="10"/>
        <v>#N/A</v>
      </c>
      <c r="V34" s="667" t="s">
        <v>14</v>
      </c>
      <c r="W34" s="668" t="e">
        <f t="shared" si="11"/>
        <v>#N/A</v>
      </c>
      <c r="X34" s="669"/>
      <c r="Y34" s="3461"/>
      <c r="Z34" s="670" t="str">
        <f t="shared" si="12"/>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59"/>
      <c r="Q35" s="1260" t="str">
        <f t="shared" si="8"/>
        <v>建筑结构</v>
      </c>
      <c r="R35" s="665" t="s">
        <v>14</v>
      </c>
      <c r="S35" s="666">
        <f t="shared" si="9"/>
        <v>100</v>
      </c>
      <c r="T35" s="665" t="s">
        <v>14</v>
      </c>
      <c r="U35" s="666">
        <f t="shared" si="10"/>
        <v>100</v>
      </c>
      <c r="V35" s="665" t="s">
        <v>14</v>
      </c>
      <c r="W35" s="666">
        <f t="shared" si="11"/>
        <v>100</v>
      </c>
      <c r="X35" s="1262"/>
      <c r="Y35" s="3461"/>
      <c r="Z35" s="1261" t="str">
        <f t="shared" si="12"/>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59"/>
      <c r="Q36" s="1260" t="str">
        <f t="shared" si="8"/>
        <v>公共部分装修</v>
      </c>
      <c r="R36" s="665" t="s">
        <v>14</v>
      </c>
      <c r="S36" s="666">
        <f t="shared" si="9"/>
        <v>100</v>
      </c>
      <c r="T36" s="665" t="s">
        <v>14</v>
      </c>
      <c r="U36" s="666">
        <f t="shared" si="10"/>
        <v>100</v>
      </c>
      <c r="V36" s="665" t="s">
        <v>14</v>
      </c>
      <c r="W36" s="666">
        <f t="shared" si="11"/>
        <v>100</v>
      </c>
      <c r="X36" s="1262"/>
      <c r="Y36" s="3461"/>
      <c r="Z36" s="1261" t="str">
        <f t="shared" si="12"/>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59"/>
      <c r="Q37" s="1260" t="str">
        <f t="shared" si="8"/>
        <v>成新度</v>
      </c>
      <c r="R37" s="665" t="s">
        <v>14</v>
      </c>
      <c r="S37" s="666" t="e">
        <f t="shared" si="9"/>
        <v>#N/A</v>
      </c>
      <c r="T37" s="665" t="s">
        <v>14</v>
      </c>
      <c r="U37" s="666" t="e">
        <f t="shared" si="10"/>
        <v>#N/A</v>
      </c>
      <c r="V37" s="665" t="s">
        <v>14</v>
      </c>
      <c r="W37" s="666" t="e">
        <f t="shared" si="11"/>
        <v>#N/A</v>
      </c>
      <c r="X37" s="1262"/>
      <c r="Y37" s="3461"/>
      <c r="Z37" s="1261" t="str">
        <f t="shared" si="12"/>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5"/>
      <c r="M38" s="2437"/>
      <c r="N38" s="2437"/>
      <c r="O38" s="2437"/>
      <c r="P38" s="3459"/>
      <c r="Q38" s="528" t="str">
        <f t="shared" si="8"/>
        <v>写字楼等级</v>
      </c>
      <c r="R38" s="662" t="s">
        <v>14</v>
      </c>
      <c r="S38" s="663">
        <f t="shared" si="9"/>
        <v>100</v>
      </c>
      <c r="T38" s="662" t="s">
        <v>14</v>
      </c>
      <c r="U38" s="663">
        <f t="shared" si="10"/>
        <v>100</v>
      </c>
      <c r="V38" s="662" t="s">
        <v>14</v>
      </c>
      <c r="W38" s="663">
        <f t="shared" si="11"/>
        <v>100</v>
      </c>
      <c r="X38" s="664"/>
      <c r="Y38" s="3461"/>
      <c r="Z38" s="50" t="str">
        <f t="shared" si="12"/>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59" t="s">
        <v>1696</v>
      </c>
      <c r="Q39" s="1260" t="str">
        <f t="shared" si="8"/>
        <v>物业管理</v>
      </c>
      <c r="R39" s="665" t="s">
        <v>14</v>
      </c>
      <c r="S39" s="666">
        <f t="shared" si="9"/>
        <v>100</v>
      </c>
      <c r="T39" s="665" t="s">
        <v>14</v>
      </c>
      <c r="U39" s="666">
        <f t="shared" si="10"/>
        <v>100</v>
      </c>
      <c r="V39" s="665" t="s">
        <v>14</v>
      </c>
      <c r="W39" s="666">
        <f t="shared" si="11"/>
        <v>100</v>
      </c>
      <c r="X39" s="1262"/>
      <c r="Y39" s="3461" t="s">
        <v>1696</v>
      </c>
      <c r="Z39" s="1261" t="str">
        <f t="shared" si="12"/>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59"/>
      <c r="Q40" s="1260" t="str">
        <f t="shared" si="8"/>
        <v>市政基础设施</v>
      </c>
      <c r="R40" s="665" t="s">
        <v>14</v>
      </c>
      <c r="S40" s="666">
        <f t="shared" si="9"/>
        <v>100</v>
      </c>
      <c r="T40" s="665" t="s">
        <v>14</v>
      </c>
      <c r="U40" s="666">
        <f t="shared" si="10"/>
        <v>100</v>
      </c>
      <c r="V40" s="665" t="s">
        <v>14</v>
      </c>
      <c r="W40" s="666">
        <f t="shared" si="11"/>
        <v>100</v>
      </c>
      <c r="X40" s="1262"/>
      <c r="Y40" s="3461"/>
      <c r="Z40" s="1261" t="str">
        <f t="shared" si="12"/>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59"/>
      <c r="Q41" s="1260" t="str">
        <f t="shared" si="8"/>
        <v>层高</v>
      </c>
      <c r="R41" s="665" t="s">
        <v>14</v>
      </c>
      <c r="S41" s="666">
        <f t="shared" si="9"/>
        <v>100</v>
      </c>
      <c r="T41" s="665" t="s">
        <v>14</v>
      </c>
      <c r="U41" s="666">
        <f t="shared" si="10"/>
        <v>100</v>
      </c>
      <c r="V41" s="665" t="s">
        <v>14</v>
      </c>
      <c r="W41" s="666">
        <f t="shared" si="11"/>
        <v>100</v>
      </c>
      <c r="X41" s="1262"/>
      <c r="Y41" s="3461"/>
      <c r="Z41" s="1261" t="str">
        <f t="shared" si="12"/>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59"/>
      <c r="Q42" s="529" t="str">
        <f t="shared" si="8"/>
        <v>单套建筑面积</v>
      </c>
      <c r="R42" s="667" t="s">
        <v>14</v>
      </c>
      <c r="S42" s="668">
        <f t="shared" si="9"/>
        <v>100</v>
      </c>
      <c r="T42" s="667" t="s">
        <v>14</v>
      </c>
      <c r="U42" s="668">
        <f t="shared" si="10"/>
        <v>100</v>
      </c>
      <c r="V42" s="667" t="s">
        <v>14</v>
      </c>
      <c r="W42" s="668">
        <f t="shared" si="11"/>
        <v>100</v>
      </c>
      <c r="X42" s="669"/>
      <c r="Y42" s="3461"/>
      <c r="Z42" s="670" t="str">
        <f t="shared" si="12"/>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59"/>
      <c r="Q43" s="1260" t="str">
        <f t="shared" si="8"/>
        <v>内部装修</v>
      </c>
      <c r="R43" s="665" t="s">
        <v>14</v>
      </c>
      <c r="S43" s="666">
        <f t="shared" si="9"/>
        <v>100</v>
      </c>
      <c r="T43" s="665" t="s">
        <v>14</v>
      </c>
      <c r="U43" s="666">
        <f t="shared" si="10"/>
        <v>100</v>
      </c>
      <c r="V43" s="665" t="s">
        <v>14</v>
      </c>
      <c r="W43" s="666">
        <f t="shared" si="11"/>
        <v>100</v>
      </c>
      <c r="X43" s="1262"/>
      <c r="Y43" s="3461"/>
      <c r="Z43" s="1261" t="str">
        <f t="shared" si="12"/>
        <v>内部装修</v>
      </c>
      <c r="AA43" s="1261">
        <f t="shared" si="3"/>
        <v>1</v>
      </c>
      <c r="AB43" s="1261">
        <f t="shared" si="4"/>
        <v>1</v>
      </c>
      <c r="AC43" s="1809">
        <f t="shared" si="5"/>
        <v>1</v>
      </c>
    </row>
    <row r="44" spans="1:29" ht="28.8">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9"/>
      <c r="M44" s="2484"/>
      <c r="N44" s="2484"/>
      <c r="O44" s="2484"/>
      <c r="P44" s="3459"/>
      <c r="Q44" s="1260" t="str">
        <f t="shared" si="8"/>
        <v>内部装修维护情况</v>
      </c>
      <c r="R44" s="665" t="s">
        <v>14</v>
      </c>
      <c r="S44" s="666">
        <f t="shared" si="9"/>
        <v>100</v>
      </c>
      <c r="T44" s="665" t="s">
        <v>14</v>
      </c>
      <c r="U44" s="666">
        <f t="shared" si="10"/>
        <v>100</v>
      </c>
      <c r="V44" s="665" t="s">
        <v>14</v>
      </c>
      <c r="W44" s="666">
        <f t="shared" si="11"/>
        <v>100</v>
      </c>
      <c r="X44" s="1262"/>
      <c r="Y44" s="3461"/>
      <c r="Z44" s="1261" t="str">
        <f t="shared" si="12"/>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5"/>
      <c r="M45" s="2437"/>
      <c r="N45" s="2437"/>
      <c r="O45" s="2437"/>
      <c r="P45" s="3459"/>
      <c r="Q45" s="528">
        <f t="shared" si="8"/>
        <v>111</v>
      </c>
      <c r="R45" s="662" t="s">
        <v>14</v>
      </c>
      <c r="S45" s="663">
        <f t="shared" si="9"/>
        <v>100</v>
      </c>
      <c r="T45" s="662" t="s">
        <v>14</v>
      </c>
      <c r="U45" s="663">
        <f t="shared" si="10"/>
        <v>100</v>
      </c>
      <c r="V45" s="662" t="s">
        <v>14</v>
      </c>
      <c r="W45" s="663">
        <f t="shared" si="11"/>
        <v>100</v>
      </c>
      <c r="X45" s="664"/>
      <c r="Y45" s="3461"/>
      <c r="Z45" s="50">
        <f t="shared" si="12"/>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59"/>
      <c r="Q46" s="1260">
        <f t="shared" si="8"/>
        <v>111</v>
      </c>
      <c r="R46" s="665" t="s">
        <v>14</v>
      </c>
      <c r="S46" s="666">
        <f t="shared" si="9"/>
        <v>100</v>
      </c>
      <c r="T46" s="665" t="s">
        <v>14</v>
      </c>
      <c r="U46" s="666">
        <f t="shared" si="10"/>
        <v>100</v>
      </c>
      <c r="V46" s="665" t="s">
        <v>14</v>
      </c>
      <c r="W46" s="666">
        <f t="shared" si="11"/>
        <v>100</v>
      </c>
      <c r="X46" s="1262"/>
      <c r="Y46" s="3461"/>
      <c r="Z46" s="1261">
        <f t="shared" si="12"/>
        <v>111</v>
      </c>
      <c r="AA46" s="1261">
        <f t="shared" si="3"/>
        <v>1</v>
      </c>
      <c r="AB46" s="1261">
        <f t="shared" si="4"/>
        <v>1</v>
      </c>
      <c r="AC46" s="1809">
        <f t="shared" si="5"/>
        <v>1</v>
      </c>
    </row>
    <row r="47" spans="1:29" ht="15.6"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60"/>
      <c r="Q47" s="1260">
        <f t="shared" si="8"/>
        <v>111</v>
      </c>
      <c r="R47" s="665" t="s">
        <v>14</v>
      </c>
      <c r="S47" s="666">
        <f t="shared" si="9"/>
        <v>100</v>
      </c>
      <c r="T47" s="665" t="s">
        <v>14</v>
      </c>
      <c r="U47" s="666">
        <f t="shared" si="10"/>
        <v>100</v>
      </c>
      <c r="V47" s="665" t="s">
        <v>14</v>
      </c>
      <c r="W47" s="666">
        <f t="shared" si="11"/>
        <v>100</v>
      </c>
      <c r="X47" s="1262"/>
      <c r="Y47" s="3462"/>
      <c r="Z47" s="1261">
        <f t="shared" si="12"/>
        <v>111</v>
      </c>
      <c r="AA47" s="1261">
        <f t="shared" si="3"/>
        <v>1</v>
      </c>
      <c r="AB47" s="1261">
        <f t="shared" si="4"/>
        <v>1</v>
      </c>
      <c r="AC47" s="1809">
        <f t="shared" si="5"/>
        <v>1</v>
      </c>
    </row>
    <row r="48" spans="1:29" ht="14.4">
      <c r="A48" s="414" t="s">
        <v>1708</v>
      </c>
      <c r="B48" s="415"/>
      <c r="C48" s="1078" t="s">
        <v>0</v>
      </c>
      <c r="D48" s="416"/>
      <c r="E48" s="417"/>
      <c r="F48" s="418"/>
      <c r="G48" s="419"/>
      <c r="H48" s="420"/>
      <c r="I48" s="417"/>
      <c r="J48" s="420"/>
      <c r="K48" s="672"/>
      <c r="L48" s="2491"/>
      <c r="M48" s="2484"/>
      <c r="N48" s="2484"/>
      <c r="O48" s="2484"/>
      <c r="P48" s="3437" t="str">
        <f>A48</f>
        <v>成交单价（元/平方米）</v>
      </c>
      <c r="Q48" s="3455"/>
      <c r="R48" s="3450">
        <f>E48</f>
        <v>0</v>
      </c>
      <c r="S48" s="3450"/>
      <c r="T48" s="3450">
        <f>G48</f>
        <v>0</v>
      </c>
      <c r="U48" s="3450"/>
      <c r="V48" s="3450">
        <f>I48</f>
        <v>0</v>
      </c>
      <c r="W48" s="3450"/>
      <c r="X48" s="383"/>
      <c r="Y48" s="671"/>
      <c r="Z48" s="383"/>
      <c r="AA48" s="383"/>
      <c r="AB48" s="383"/>
      <c r="AC48" s="553"/>
    </row>
    <row r="49" spans="1:29" ht="15" thickBot="1">
      <c r="A49" s="421" t="s">
        <v>1793</v>
      </c>
      <c r="B49" s="422"/>
      <c r="C49" s="1079" t="e">
        <f>R50</f>
        <v>#DIV/0!</v>
      </c>
      <c r="D49" s="2138" t="s">
        <v>2138</v>
      </c>
      <c r="E49" s="1080" t="e">
        <f>R49</f>
        <v>#DIV/0!</v>
      </c>
      <c r="F49" s="2139"/>
      <c r="G49" s="1079" t="e">
        <f>T49</f>
        <v>#DIV/0!</v>
      </c>
      <c r="H49" s="2139"/>
      <c r="I49" s="1080" t="e">
        <f>V49</f>
        <v>#DIV/0!</v>
      </c>
      <c r="J49" s="2139"/>
      <c r="K49" s="2141">
        <f>F49+H49+J49</f>
        <v>0</v>
      </c>
      <c r="L49" s="2491"/>
      <c r="M49" s="2484"/>
      <c r="N49" s="2484"/>
      <c r="O49" s="2484"/>
      <c r="P49" s="3437" t="str">
        <f>A49</f>
        <v>比较价值（元/平方米）</v>
      </c>
      <c r="Q49" s="3455"/>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1"/>
      <c r="M50" s="2484"/>
      <c r="N50" s="2484"/>
      <c r="O50" s="2484"/>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6" t="s">
        <v>1798</v>
      </c>
      <c r="B58" s="383"/>
      <c r="C58" s="657"/>
      <c r="D58" s="657"/>
      <c r="E58" s="657"/>
      <c r="F58" s="658"/>
      <c r="G58" s="658"/>
      <c r="H58" s="657"/>
      <c r="I58" s="657"/>
      <c r="J58" s="657"/>
      <c r="K58" s="659"/>
      <c r="L58" s="885"/>
      <c r="M58" s="883"/>
      <c r="N58" s="2534"/>
      <c r="O58" s="2534"/>
      <c r="P58" s="2523"/>
      <c r="Q58" s="2505"/>
      <c r="R58" s="2484"/>
      <c r="S58" s="2484"/>
      <c r="T58" s="2484"/>
      <c r="U58" s="2484"/>
      <c r="V58" s="2484"/>
      <c r="W58" s="2484"/>
      <c r="X58" s="2484"/>
      <c r="Y58" s="2484"/>
      <c r="Z58" s="2484"/>
      <c r="AA58" s="2484"/>
      <c r="AB58" s="2484"/>
      <c r="AC58" s="2484"/>
    </row>
    <row r="59" spans="1:29" s="440" customFormat="1" ht="14.4">
      <c r="A59" s="438" t="s">
        <v>1679</v>
      </c>
      <c r="B59" s="439"/>
      <c r="C59" s="1100" t="str">
        <f>YEAR(C7)&amp;"-"&amp;MONTH(C7)</f>
        <v>2025-4</v>
      </c>
      <c r="D59" s="1101">
        <f>EDATE(C59,-1)</f>
        <v>45717</v>
      </c>
      <c r="E59" s="1101">
        <f>EDATE(D59,-1)</f>
        <v>45689</v>
      </c>
      <c r="F59" s="1101">
        <f t="shared" ref="F59:O59" si="13">EDATE(E59,-1)</f>
        <v>45658</v>
      </c>
      <c r="G59" s="1101">
        <f t="shared" si="13"/>
        <v>45627</v>
      </c>
      <c r="H59" s="1101">
        <f t="shared" si="13"/>
        <v>45597</v>
      </c>
      <c r="I59" s="1101">
        <f t="shared" si="13"/>
        <v>45566</v>
      </c>
      <c r="J59" s="1101">
        <f t="shared" si="13"/>
        <v>45536</v>
      </c>
      <c r="K59" s="1101">
        <f t="shared" si="13"/>
        <v>45505</v>
      </c>
      <c r="L59" s="1101">
        <f t="shared" si="13"/>
        <v>45474</v>
      </c>
      <c r="M59" s="1101">
        <f t="shared" si="13"/>
        <v>45444</v>
      </c>
      <c r="N59" s="1101">
        <f t="shared" si="13"/>
        <v>45413</v>
      </c>
      <c r="O59" s="1101">
        <f t="shared" si="13"/>
        <v>45383</v>
      </c>
      <c r="P59" s="2524"/>
      <c r="Q59" s="2507"/>
      <c r="R59" s="2507"/>
      <c r="S59" s="2507"/>
      <c r="T59" s="2507"/>
      <c r="U59" s="2507"/>
      <c r="V59" s="2507"/>
      <c r="W59" s="2507"/>
      <c r="X59" s="2507"/>
      <c r="Y59" s="2507"/>
      <c r="Z59" s="2507"/>
      <c r="AA59" s="2507"/>
      <c r="AB59" s="2507"/>
      <c r="AC59" s="2507"/>
    </row>
    <row r="60" spans="1:29" s="101" customFormat="1">
      <c r="A60" s="441"/>
      <c r="B60" s="442"/>
      <c r="C60" s="1099">
        <v>100</v>
      </c>
      <c r="D60" s="444"/>
      <c r="E60" s="444"/>
      <c r="F60" s="444"/>
      <c r="G60" s="444"/>
      <c r="H60" s="444"/>
      <c r="I60" s="444"/>
      <c r="J60" s="444"/>
      <c r="K60" s="444"/>
      <c r="L60" s="444"/>
      <c r="M60" s="445"/>
      <c r="N60" s="444"/>
      <c r="O60" s="445"/>
      <c r="P60" s="2525"/>
      <c r="Q60" s="2437"/>
      <c r="R60" s="2437"/>
      <c r="S60" s="2437"/>
      <c r="T60" s="2437"/>
      <c r="U60" s="2437"/>
      <c r="V60" s="2437"/>
      <c r="W60" s="2437"/>
      <c r="X60" s="2437"/>
      <c r="Y60" s="2437"/>
      <c r="Z60" s="2437"/>
      <c r="AA60" s="2437"/>
      <c r="AB60" s="2437"/>
      <c r="AC60" s="2437"/>
    </row>
    <row r="61" spans="1:29" s="101" customFormat="1" ht="15" thickBot="1">
      <c r="A61" s="447" t="s">
        <v>1716</v>
      </c>
      <c r="B61" s="448"/>
      <c r="C61" s="449"/>
      <c r="D61" s="450"/>
      <c r="E61" s="450"/>
      <c r="F61" s="450"/>
      <c r="G61" s="450"/>
      <c r="H61" s="450"/>
      <c r="I61" s="450"/>
      <c r="J61" s="450"/>
      <c r="K61" s="450"/>
      <c r="L61" s="450"/>
      <c r="M61" s="451"/>
      <c r="N61" s="450"/>
      <c r="O61" s="451"/>
      <c r="P61" s="2525"/>
      <c r="Q61" s="2505"/>
      <c r="R61" s="2437"/>
      <c r="S61" s="2437"/>
      <c r="T61" s="2437"/>
      <c r="U61" s="2437"/>
      <c r="V61" s="2437"/>
      <c r="W61" s="2437"/>
      <c r="X61" s="2437"/>
      <c r="Y61" s="2437"/>
      <c r="Z61" s="2437"/>
      <c r="AA61" s="2437"/>
      <c r="AB61" s="2437"/>
      <c r="AC61" s="2437"/>
    </row>
    <row r="62" spans="1:29" s="101" customFormat="1" ht="14.4">
      <c r="A62" s="453" t="s">
        <v>1681</v>
      </c>
      <c r="B62" s="442"/>
      <c r="C62" s="454" t="s">
        <v>1776</v>
      </c>
      <c r="D62" s="31"/>
      <c r="E62" s="31"/>
      <c r="F62" s="31"/>
      <c r="G62" s="31"/>
      <c r="H62" s="31"/>
      <c r="I62" s="31"/>
      <c r="J62" s="31"/>
      <c r="K62" s="31"/>
      <c r="L62" s="455"/>
      <c r="M62" s="456"/>
      <c r="N62" s="2517"/>
      <c r="O62" s="2517"/>
      <c r="P62" s="2526"/>
      <c r="Q62" s="2505"/>
      <c r="R62" s="2437"/>
      <c r="S62" s="2437"/>
      <c r="T62" s="2437"/>
      <c r="U62" s="2437"/>
      <c r="V62" s="2437"/>
      <c r="W62" s="2437"/>
      <c r="X62" s="2437"/>
      <c r="Y62" s="2437"/>
      <c r="Z62" s="2437"/>
      <c r="AA62" s="2437"/>
      <c r="AB62" s="2437"/>
      <c r="AC62" s="2437"/>
    </row>
    <row r="63" spans="1:29" s="101" customFormat="1" ht="14.4" thickBot="1">
      <c r="A63" s="453"/>
      <c r="B63" s="442"/>
      <c r="C63" s="443">
        <v>100</v>
      </c>
      <c r="D63" s="444"/>
      <c r="E63" s="444"/>
      <c r="F63" s="444"/>
      <c r="G63" s="444"/>
      <c r="H63" s="444"/>
      <c r="I63" s="444"/>
      <c r="J63" s="444"/>
      <c r="K63" s="444"/>
      <c r="L63" s="444"/>
      <c r="M63" s="446"/>
      <c r="N63" s="2517"/>
      <c r="O63" s="2517"/>
      <c r="P63" s="2525"/>
      <c r="Q63" s="2505"/>
      <c r="R63" s="2437"/>
      <c r="S63" s="2437"/>
      <c r="T63" s="2437"/>
      <c r="U63" s="2437"/>
      <c r="V63" s="2437"/>
      <c r="W63" s="2437"/>
      <c r="X63" s="2437"/>
      <c r="Y63" s="2437"/>
      <c r="Z63" s="2437"/>
      <c r="AA63" s="2437"/>
      <c r="AB63" s="2437"/>
      <c r="AC63" s="2437"/>
    </row>
    <row r="64" spans="1:29" ht="14.4">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4.4"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9.4"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4.4"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4.4"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9"/>
      <c r="O70" s="2519"/>
      <c r="P70" s="2527"/>
      <c r="Q70" s="2505"/>
      <c r="R70" s="2484"/>
      <c r="S70" s="2484"/>
      <c r="T70" s="2484"/>
      <c r="U70" s="2484"/>
      <c r="V70" s="2484"/>
      <c r="W70" s="2484"/>
      <c r="X70" s="2484"/>
      <c r="Y70" s="2484"/>
      <c r="Z70" s="2484"/>
      <c r="AA70" s="2484"/>
      <c r="AB70" s="2484"/>
      <c r="AC70" s="2484"/>
    </row>
    <row r="71" spans="1:29" s="406" customFormat="1" ht="14.4"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4.4"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4.4"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4.4"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4.4"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4.4"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ht="14.4">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 thickTop="1">
      <c r="A83" s="365"/>
      <c r="B83" s="475" t="s">
        <v>1813</v>
      </c>
      <c r="C83" s="579" t="s">
        <v>1799</v>
      </c>
      <c r="D83" s="579" t="s">
        <v>1800</v>
      </c>
      <c r="E83" s="579" t="s">
        <v>1801</v>
      </c>
      <c r="F83" s="579" t="s">
        <v>1802</v>
      </c>
      <c r="G83" s="579" t="s">
        <v>1803</v>
      </c>
      <c r="H83" s="468"/>
      <c r="I83" s="468"/>
      <c r="J83" s="468"/>
      <c r="K83" s="468"/>
      <c r="L83" s="468"/>
      <c r="M83" s="1060"/>
      <c r="N83" s="2519"/>
      <c r="O83" s="2519"/>
      <c r="P83" s="2527"/>
      <c r="Q83" s="2505"/>
      <c r="R83" s="2484"/>
      <c r="S83" s="2484"/>
      <c r="T83" s="2484"/>
      <c r="U83" s="2484"/>
      <c r="V83" s="2484"/>
      <c r="W83" s="2484"/>
      <c r="X83" s="2484"/>
      <c r="Y83" s="2484"/>
      <c r="Z83" s="2484"/>
      <c r="AA83" s="2484"/>
      <c r="AB83" s="2484"/>
      <c r="AC83" s="2484"/>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1" customFormat="1" ht="29.4" thickTop="1">
      <c r="A87" s="368"/>
      <c r="B87" s="467" t="s">
        <v>1823</v>
      </c>
      <c r="C87" s="483"/>
      <c r="D87" s="483"/>
      <c r="E87" s="483"/>
      <c r="F87" s="483"/>
      <c r="G87" s="483"/>
      <c r="H87" s="483"/>
      <c r="I87" s="483"/>
      <c r="J87" s="483"/>
      <c r="K87" s="483"/>
      <c r="L87" s="508"/>
      <c r="M87" s="509"/>
      <c r="N87" s="2517"/>
      <c r="O87" s="2517"/>
      <c r="P87" s="2527"/>
      <c r="Q87" s="2505"/>
      <c r="R87" s="2437"/>
      <c r="S87" s="2437"/>
      <c r="T87" s="2437"/>
      <c r="U87" s="2437"/>
      <c r="V87" s="2437"/>
      <c r="W87" s="2437"/>
      <c r="X87" s="2437"/>
      <c r="Y87" s="2437"/>
      <c r="Z87" s="2437"/>
      <c r="AA87" s="2437"/>
      <c r="AB87" s="2437"/>
      <c r="AC87" s="2437"/>
    </row>
    <row r="88" spans="1:29" s="101" customFormat="1" ht="14.4"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8"/>
      <c r="B89" s="467" t="str">
        <f>B27</f>
        <v>楼层</v>
      </c>
      <c r="C89" s="483"/>
      <c r="D89" s="483"/>
      <c r="E89" s="483"/>
      <c r="F89" s="1777"/>
      <c r="G89" s="483"/>
      <c r="H89" s="483"/>
      <c r="I89" s="483"/>
      <c r="J89" s="483"/>
      <c r="K89" s="483"/>
      <c r="L89" s="483"/>
      <c r="M89" s="509"/>
      <c r="N89" s="2517"/>
      <c r="O89" s="2517"/>
      <c r="P89" s="2527"/>
      <c r="Q89" s="2505"/>
      <c r="R89" s="2437"/>
      <c r="S89" s="2437"/>
      <c r="T89" s="2437"/>
      <c r="U89" s="2437"/>
      <c r="V89" s="2437"/>
      <c r="W89" s="2437"/>
      <c r="X89" s="2437"/>
      <c r="Y89" s="2437"/>
      <c r="Z89" s="2437"/>
      <c r="AA89" s="2437"/>
      <c r="AB89" s="2437"/>
      <c r="AC89" s="2437"/>
    </row>
    <row r="90" spans="1:29" s="101" customFormat="1" ht="14.4"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9"/>
      <c r="O90" s="2519"/>
      <c r="P90" s="2527"/>
      <c r="Q90" s="2505"/>
      <c r="R90" s="2437"/>
      <c r="S90" s="2437"/>
      <c r="T90" s="2437"/>
      <c r="U90" s="2437"/>
      <c r="V90" s="2437"/>
      <c r="W90" s="2437"/>
      <c r="X90" s="2437"/>
      <c r="Y90" s="2437"/>
      <c r="Z90" s="2437"/>
      <c r="AA90" s="2437"/>
      <c r="AB90" s="2437"/>
      <c r="AC90" s="2437"/>
    </row>
    <row r="91" spans="1:29" s="406" customFormat="1" ht="14.4"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4.4"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20"/>
      <c r="O92" s="2520"/>
      <c r="P92" s="2528"/>
      <c r="Q92" s="2512"/>
      <c r="R92" s="2490"/>
      <c r="S92" s="2490"/>
      <c r="T92" s="2490"/>
      <c r="U92" s="2490"/>
      <c r="V92" s="2490"/>
      <c r="W92" s="2490"/>
      <c r="X92" s="2490"/>
      <c r="Y92" s="2490"/>
      <c r="Z92" s="2490"/>
      <c r="AA92" s="2490"/>
      <c r="AB92" s="2490"/>
      <c r="AC92" s="2490"/>
    </row>
    <row r="93" spans="1:29" ht="14.4"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4.4"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4.4"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4.4"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4.4"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4.4"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4.4"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4.4"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ht="14.4">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4.4"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5"/>
      <c r="B103" s="467" t="s">
        <v>1737</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4.4"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4.4"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4.4"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4.4"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4.4"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4.4"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4.4"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4.4"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4.4"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4.4"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4.4"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4.4"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4.4"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4.4"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4.4"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conditionalFormatting sqref="G53">
    <cfRule type="expression" dxfId="63" priority="12" stopIfTrue="1">
      <formula>$H$53="超过30%"</formula>
    </cfRule>
  </conditionalFormatting>
  <conditionalFormatting sqref="G54">
    <cfRule type="expression" dxfId="62" priority="11" stopIfTrue="1">
      <formula>$H$54="超过20%"</formula>
    </cfRule>
  </conditionalFormatting>
  <conditionalFormatting sqref="G55">
    <cfRule type="expression" dxfId="61" priority="13" stopIfTrue="1">
      <formula>$H$55="超过30%"</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1826</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21949.910000000098</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857"/>
      <c r="M4" s="858"/>
      <c r="N4" s="858"/>
      <c r="O4" s="858"/>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857"/>
      <c r="M5" s="858"/>
      <c r="N5" s="858"/>
      <c r="O5" s="858"/>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857"/>
      <c r="M6" s="858"/>
      <c r="N6" s="858"/>
      <c r="O6" s="858"/>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45762</v>
      </c>
      <c r="D7" s="353">
        <v>100</v>
      </c>
      <c r="E7" s="354"/>
      <c r="F7" s="355">
        <f>SUMIF(52:52,YEAR(E7)&amp;"-"&amp;MONTH(E7),53:53)</f>
        <v>0</v>
      </c>
      <c r="G7" s="354"/>
      <c r="H7" s="353">
        <f>SUMIF(52:52,YEAR(G7)&amp;"-"&amp;MONTH(G7),53:53)</f>
        <v>0</v>
      </c>
      <c r="I7" s="354"/>
      <c r="J7" s="353">
        <f>SUMIF(52:52,YEAR(I7)&amp;"-"&amp;MONTH(I7),53:53)</f>
        <v>0</v>
      </c>
      <c r="K7" s="38"/>
      <c r="L7" s="859"/>
      <c r="M7" s="860"/>
      <c r="N7" s="860"/>
      <c r="O7" s="860"/>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23" t="s">
        <v>1683</v>
      </c>
      <c r="Q8" s="3424"/>
      <c r="R8" s="662" t="s">
        <v>14</v>
      </c>
      <c r="S8" s="663">
        <f t="shared" si="0"/>
        <v>100</v>
      </c>
      <c r="T8" s="662" t="s">
        <v>14</v>
      </c>
      <c r="U8" s="663">
        <f t="shared" si="1"/>
        <v>100</v>
      </c>
      <c r="V8" s="662" t="s">
        <v>14</v>
      </c>
      <c r="W8" s="663">
        <f t="shared" si="2"/>
        <v>100</v>
      </c>
      <c r="X8" s="664"/>
      <c r="Y8" s="3423" t="s">
        <v>1683</v>
      </c>
      <c r="Z8" s="3424"/>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55"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129"/>
      <c r="D10" s="117">
        <v>100</v>
      </c>
      <c r="E10" s="3129"/>
      <c r="F10" s="117">
        <f>SUMIF(59:59,E10,60:60)-SUMIF(59:59,C10,60:60)+100</f>
        <v>100</v>
      </c>
      <c r="G10" s="3130"/>
      <c r="H10" s="117">
        <f>SUMIF(59:59,G10,60:60)-SUMIF(59:59,C10,60:60)+100</f>
        <v>100</v>
      </c>
      <c r="I10" s="3129"/>
      <c r="J10" s="117">
        <f>SUMIF(59:59,I10,60:60)-SUMIF(59:59,C10,60:60)+100</f>
        <v>100</v>
      </c>
      <c r="K10" s="38"/>
      <c r="L10" s="862"/>
      <c r="M10" s="863"/>
      <c r="N10" s="863"/>
      <c r="O10" s="864"/>
      <c r="P10" s="3455"/>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55"/>
      <c r="Q11" s="528" t="str">
        <f t="shared" si="6"/>
        <v>容积率</v>
      </c>
      <c r="R11" s="662" t="s">
        <v>14</v>
      </c>
      <c r="S11" s="663">
        <f t="shared" si="0"/>
        <v>100</v>
      </c>
      <c r="T11" s="662" t="s">
        <v>14</v>
      </c>
      <c r="U11" s="663">
        <f t="shared" si="1"/>
        <v>100</v>
      </c>
      <c r="V11" s="662" t="s">
        <v>14</v>
      </c>
      <c r="W11" s="663">
        <f t="shared" si="2"/>
        <v>100</v>
      </c>
      <c r="X11" s="664"/>
      <c r="Y11" s="334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55"/>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69">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57"/>
      <c r="Q16" s="1260"/>
      <c r="R16" s="665"/>
      <c r="S16" s="666"/>
      <c r="T16" s="665"/>
      <c r="U16" s="666"/>
      <c r="V16" s="665"/>
      <c r="W16" s="666"/>
      <c r="X16" s="1262"/>
      <c r="Y16" s="3457"/>
      <c r="Z16" s="1261"/>
      <c r="AA16" s="1261">
        <v>1</v>
      </c>
      <c r="AB16" s="1261">
        <v>1</v>
      </c>
      <c r="AC16" s="1261">
        <v>1</v>
      </c>
    </row>
    <row r="17" spans="1:29" ht="96.6">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57"/>
      <c r="Q18" s="1260"/>
      <c r="R18" s="665"/>
      <c r="S18" s="666"/>
      <c r="T18" s="665"/>
      <c r="U18" s="666"/>
      <c r="V18" s="665"/>
      <c r="W18" s="666"/>
      <c r="X18" s="1262"/>
      <c r="Y18" s="3457"/>
      <c r="Z18" s="1261"/>
      <c r="AA18" s="1261">
        <v>1</v>
      </c>
      <c r="AB18" s="1261">
        <v>1</v>
      </c>
      <c r="AC18" s="1261">
        <v>1</v>
      </c>
    </row>
    <row r="19" spans="1:29" ht="41.4">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57"/>
      <c r="Q20" s="1260"/>
      <c r="R20" s="665"/>
      <c r="S20" s="666"/>
      <c r="T20" s="665"/>
      <c r="U20" s="666"/>
      <c r="V20" s="665"/>
      <c r="W20" s="666"/>
      <c r="X20" s="1262"/>
      <c r="Y20" s="3457"/>
      <c r="Z20" s="1261"/>
      <c r="AA20" s="1261">
        <v>1</v>
      </c>
      <c r="AB20" s="1261">
        <v>1</v>
      </c>
      <c r="AC20" s="1261">
        <v>1</v>
      </c>
    </row>
    <row r="21" spans="1:29" ht="41.4">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D21/F21</f>
        <v>1</v>
      </c>
      <c r="AB21" s="1261">
        <f>D21/H21</f>
        <v>1</v>
      </c>
      <c r="AC21" s="1261">
        <f>D21/J21</f>
        <v>1</v>
      </c>
    </row>
    <row r="22" spans="1:29" ht="15">
      <c r="A22" s="365"/>
      <c r="B22" s="584"/>
      <c r="C22" s="1752"/>
      <c r="D22" s="385"/>
      <c r="E22" s="384"/>
      <c r="F22" s="386"/>
      <c r="G22" s="384"/>
      <c r="H22" s="385"/>
      <c r="I22" s="384"/>
      <c r="J22" s="385"/>
      <c r="K22" s="1061"/>
      <c r="L22" s="867"/>
      <c r="M22" s="858"/>
      <c r="N22" s="858"/>
      <c r="O22" s="866"/>
      <c r="P22" s="3457"/>
      <c r="Q22" s="1260"/>
      <c r="R22" s="665"/>
      <c r="S22" s="666"/>
      <c r="T22" s="665"/>
      <c r="U22" s="666"/>
      <c r="V22" s="665"/>
      <c r="W22" s="666"/>
      <c r="X22" s="1262"/>
      <c r="Y22" s="3457"/>
      <c r="Z22" s="1261"/>
      <c r="AA22" s="1261">
        <v>1</v>
      </c>
      <c r="AB22" s="1261">
        <v>1</v>
      </c>
      <c r="AC22" s="1261">
        <v>1</v>
      </c>
    </row>
    <row r="23" spans="1:29" ht="82.8">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57"/>
      <c r="Q24" s="1260"/>
      <c r="R24" s="665"/>
      <c r="S24" s="666"/>
      <c r="T24" s="665"/>
      <c r="U24" s="666"/>
      <c r="V24" s="665"/>
      <c r="W24" s="666"/>
      <c r="X24" s="1262"/>
      <c r="Y24" s="3457"/>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57"/>
      <c r="Q26" s="1260">
        <f t="shared" ref="Q26:Q40" si="8">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57"/>
      <c r="Q27" s="528">
        <f t="shared" si="8"/>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6"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57"/>
      <c r="Q28" s="1260">
        <f t="shared" si="8"/>
        <v>111</v>
      </c>
      <c r="R28" s="665" t="s">
        <v>14</v>
      </c>
      <c r="S28" s="666">
        <f t="shared" ref="S28:S40" si="9">F28</f>
        <v>100</v>
      </c>
      <c r="T28" s="665" t="s">
        <v>14</v>
      </c>
      <c r="U28" s="666">
        <f t="shared" ref="U28:U40" si="10">H28</f>
        <v>100</v>
      </c>
      <c r="V28" s="665" t="s">
        <v>14</v>
      </c>
      <c r="W28" s="666">
        <f t="shared" ref="W28:W40" si="11">J28</f>
        <v>100</v>
      </c>
      <c r="X28" s="1262"/>
      <c r="Y28" s="3457"/>
      <c r="Z28" s="1261">
        <f t="shared" ref="Z28:Z40" si="12">Q28</f>
        <v>111</v>
      </c>
      <c r="AA28" s="1261">
        <f t="shared" si="3"/>
        <v>1</v>
      </c>
      <c r="AB28" s="1261">
        <f t="shared" si="4"/>
        <v>1</v>
      </c>
      <c r="AC28" s="1261">
        <f t="shared" si="5"/>
        <v>1</v>
      </c>
    </row>
    <row r="29" spans="1:29" ht="30">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80" t="s">
        <v>1696</v>
      </c>
      <c r="Q29" s="1260" t="str">
        <f t="shared" si="8"/>
        <v>建筑类型</v>
      </c>
      <c r="R29" s="665" t="s">
        <v>14</v>
      </c>
      <c r="S29" s="666">
        <f t="shared" si="9"/>
        <v>100</v>
      </c>
      <c r="T29" s="665" t="s">
        <v>14</v>
      </c>
      <c r="U29" s="666">
        <f t="shared" si="10"/>
        <v>100</v>
      </c>
      <c r="V29" s="665" t="s">
        <v>14</v>
      </c>
      <c r="W29" s="666">
        <f t="shared" si="11"/>
        <v>100</v>
      </c>
      <c r="X29" s="1262"/>
      <c r="Y29" s="3461"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61"/>
      <c r="Q30" s="529" t="str">
        <f t="shared" si="8"/>
        <v>项目建筑规模</v>
      </c>
      <c r="R30" s="667" t="s">
        <v>14</v>
      </c>
      <c r="S30" s="668" t="e">
        <f t="shared" si="9"/>
        <v>#N/A</v>
      </c>
      <c r="T30" s="667" t="s">
        <v>14</v>
      </c>
      <c r="U30" s="668" t="e">
        <f t="shared" si="10"/>
        <v>#N/A</v>
      </c>
      <c r="V30" s="667" t="s">
        <v>14</v>
      </c>
      <c r="W30" s="668" t="e">
        <f t="shared" si="11"/>
        <v>#N/A</v>
      </c>
      <c r="X30" s="669"/>
      <c r="Y30" s="3461"/>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61"/>
      <c r="Q31" s="1260" t="str">
        <f t="shared" si="8"/>
        <v>建筑结构</v>
      </c>
      <c r="R31" s="665" t="s">
        <v>14</v>
      </c>
      <c r="S31" s="666">
        <f t="shared" si="9"/>
        <v>100</v>
      </c>
      <c r="T31" s="665" t="s">
        <v>14</v>
      </c>
      <c r="U31" s="666">
        <f t="shared" si="10"/>
        <v>100</v>
      </c>
      <c r="V31" s="665" t="s">
        <v>14</v>
      </c>
      <c r="W31" s="666">
        <f t="shared" si="11"/>
        <v>100</v>
      </c>
      <c r="X31" s="1262"/>
      <c r="Y31" s="3461"/>
      <c r="Z31" s="1261" t="str">
        <f t="shared" si="12"/>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61"/>
      <c r="Q32" s="1260" t="str">
        <f t="shared" si="8"/>
        <v>公共部分装修</v>
      </c>
      <c r="R32" s="665" t="s">
        <v>14</v>
      </c>
      <c r="S32" s="666">
        <f t="shared" si="9"/>
        <v>100</v>
      </c>
      <c r="T32" s="665" t="s">
        <v>14</v>
      </c>
      <c r="U32" s="666">
        <f t="shared" si="10"/>
        <v>100</v>
      </c>
      <c r="V32" s="665" t="s">
        <v>14</v>
      </c>
      <c r="W32" s="666">
        <f t="shared" si="11"/>
        <v>100</v>
      </c>
      <c r="X32" s="1262"/>
      <c r="Y32" s="3461"/>
      <c r="Z32" s="1261" t="str">
        <f t="shared" si="12"/>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61"/>
      <c r="Q33" s="1260" t="str">
        <f t="shared" si="8"/>
        <v>成新度</v>
      </c>
      <c r="R33" s="665" t="s">
        <v>14</v>
      </c>
      <c r="S33" s="666" t="e">
        <f t="shared" si="9"/>
        <v>#N/A</v>
      </c>
      <c r="T33" s="665" t="s">
        <v>14</v>
      </c>
      <c r="U33" s="666" t="e">
        <f t="shared" si="10"/>
        <v>#N/A</v>
      </c>
      <c r="V33" s="665" t="s">
        <v>14</v>
      </c>
      <c r="W33" s="666" t="e">
        <f t="shared" si="11"/>
        <v>#N/A</v>
      </c>
      <c r="X33" s="1262"/>
      <c r="Y33" s="3461"/>
      <c r="Z33" s="1261" t="str">
        <f t="shared" si="12"/>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61"/>
      <c r="Q34" s="528" t="str">
        <f t="shared" si="8"/>
        <v>物业管理</v>
      </c>
      <c r="R34" s="662" t="s">
        <v>14</v>
      </c>
      <c r="S34" s="663">
        <f t="shared" si="9"/>
        <v>100</v>
      </c>
      <c r="T34" s="662" t="s">
        <v>14</v>
      </c>
      <c r="U34" s="663">
        <f t="shared" si="10"/>
        <v>100</v>
      </c>
      <c r="V34" s="662" t="s">
        <v>14</v>
      </c>
      <c r="W34" s="663">
        <f t="shared" si="11"/>
        <v>100</v>
      </c>
      <c r="X34" s="664"/>
      <c r="Y34" s="3461"/>
      <c r="Z34" s="50" t="str">
        <f t="shared" si="12"/>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61" t="s">
        <v>1696</v>
      </c>
      <c r="Q35" s="1260" t="str">
        <f t="shared" si="8"/>
        <v>市政基础设施</v>
      </c>
      <c r="R35" s="665" t="s">
        <v>14</v>
      </c>
      <c r="S35" s="666">
        <f t="shared" si="9"/>
        <v>100</v>
      </c>
      <c r="T35" s="665" t="s">
        <v>14</v>
      </c>
      <c r="U35" s="666">
        <f t="shared" si="10"/>
        <v>100</v>
      </c>
      <c r="V35" s="665" t="s">
        <v>14</v>
      </c>
      <c r="W35" s="666">
        <f t="shared" si="11"/>
        <v>100</v>
      </c>
      <c r="X35" s="1262"/>
      <c r="Y35" s="3461" t="s">
        <v>1696</v>
      </c>
      <c r="Z35" s="1261" t="str">
        <f t="shared" si="12"/>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61"/>
      <c r="Q36" s="1260" t="str">
        <f t="shared" si="8"/>
        <v>内部装修</v>
      </c>
      <c r="R36" s="665" t="s">
        <v>14</v>
      </c>
      <c r="S36" s="666">
        <f t="shared" si="9"/>
        <v>100</v>
      </c>
      <c r="T36" s="665" t="s">
        <v>14</v>
      </c>
      <c r="U36" s="666">
        <f t="shared" si="10"/>
        <v>100</v>
      </c>
      <c r="V36" s="665" t="s">
        <v>14</v>
      </c>
      <c r="W36" s="666">
        <f t="shared" si="11"/>
        <v>100</v>
      </c>
      <c r="X36" s="1262"/>
      <c r="Y36" s="3461"/>
      <c r="Z36" s="1261" t="str">
        <f t="shared" si="12"/>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61"/>
      <c r="Q37" s="1260" t="str">
        <f t="shared" si="8"/>
        <v>内部装修状况</v>
      </c>
      <c r="R37" s="665" t="s">
        <v>14</v>
      </c>
      <c r="S37" s="666">
        <f t="shared" si="9"/>
        <v>100</v>
      </c>
      <c r="T37" s="665" t="s">
        <v>14</v>
      </c>
      <c r="U37" s="666">
        <f t="shared" si="10"/>
        <v>100</v>
      </c>
      <c r="V37" s="665" t="s">
        <v>14</v>
      </c>
      <c r="W37" s="666">
        <f t="shared" si="11"/>
        <v>100</v>
      </c>
      <c r="X37" s="1262"/>
      <c r="Y37" s="3461"/>
      <c r="Z37" s="1261" t="str">
        <f t="shared" si="12"/>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61"/>
      <c r="Q38" s="529">
        <f t="shared" si="8"/>
        <v>111</v>
      </c>
      <c r="R38" s="667" t="s">
        <v>14</v>
      </c>
      <c r="S38" s="668">
        <f t="shared" si="9"/>
        <v>100</v>
      </c>
      <c r="T38" s="667" t="s">
        <v>14</v>
      </c>
      <c r="U38" s="668">
        <f t="shared" si="10"/>
        <v>100</v>
      </c>
      <c r="V38" s="667" t="s">
        <v>14</v>
      </c>
      <c r="W38" s="668">
        <f t="shared" si="11"/>
        <v>100</v>
      </c>
      <c r="X38" s="669"/>
      <c r="Y38" s="3461"/>
      <c r="Z38" s="670">
        <f t="shared" si="12"/>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61"/>
      <c r="Q39" s="1260">
        <f t="shared" si="8"/>
        <v>111</v>
      </c>
      <c r="R39" s="665" t="s">
        <v>14</v>
      </c>
      <c r="S39" s="666">
        <f t="shared" si="9"/>
        <v>100</v>
      </c>
      <c r="T39" s="665" t="s">
        <v>14</v>
      </c>
      <c r="U39" s="666">
        <f t="shared" si="10"/>
        <v>100</v>
      </c>
      <c r="V39" s="665" t="s">
        <v>14</v>
      </c>
      <c r="W39" s="666">
        <f t="shared" si="11"/>
        <v>100</v>
      </c>
      <c r="X39" s="1262"/>
      <c r="Y39" s="3461"/>
      <c r="Z39" s="1261">
        <f t="shared" si="12"/>
        <v>111</v>
      </c>
      <c r="AA39" s="1261">
        <f t="shared" si="3"/>
        <v>1</v>
      </c>
      <c r="AB39" s="1261">
        <f t="shared" si="4"/>
        <v>1</v>
      </c>
      <c r="AC39" s="1261">
        <f t="shared" si="5"/>
        <v>1</v>
      </c>
    </row>
    <row r="40" spans="1:29" ht="15.6"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62"/>
      <c r="Q40" s="1260">
        <f t="shared" si="8"/>
        <v>111</v>
      </c>
      <c r="R40" s="665" t="s">
        <v>14</v>
      </c>
      <c r="S40" s="666">
        <f t="shared" si="9"/>
        <v>100</v>
      </c>
      <c r="T40" s="665" t="s">
        <v>14</v>
      </c>
      <c r="U40" s="666">
        <f t="shared" si="10"/>
        <v>100</v>
      </c>
      <c r="V40" s="665" t="s">
        <v>14</v>
      </c>
      <c r="W40" s="666">
        <f t="shared" si="11"/>
        <v>100</v>
      </c>
      <c r="X40" s="1262"/>
      <c r="Y40" s="3462"/>
      <c r="Z40" s="1261">
        <f t="shared" si="12"/>
        <v>111</v>
      </c>
      <c r="AA40" s="1261">
        <f t="shared" si="3"/>
        <v>1</v>
      </c>
      <c r="AB40" s="1261">
        <f t="shared" si="4"/>
        <v>1</v>
      </c>
      <c r="AC40" s="1261">
        <f t="shared" si="5"/>
        <v>1</v>
      </c>
    </row>
    <row r="41" spans="1:29" ht="14.4">
      <c r="A41" s="414" t="s">
        <v>1708</v>
      </c>
      <c r="B41" s="415"/>
      <c r="C41" s="1078" t="s">
        <v>0</v>
      </c>
      <c r="D41" s="416"/>
      <c r="E41" s="417"/>
      <c r="F41" s="418"/>
      <c r="G41" s="419"/>
      <c r="H41" s="420"/>
      <c r="I41" s="417"/>
      <c r="J41" s="420"/>
      <c r="K41" s="672"/>
      <c r="L41" s="870"/>
      <c r="M41" s="858"/>
      <c r="N41" s="858"/>
      <c r="O41" s="858"/>
      <c r="P41" s="3455" t="str">
        <f>A41</f>
        <v>成交单价（元/平方米）</v>
      </c>
      <c r="Q41" s="3455"/>
      <c r="R41" s="3450">
        <f>E41</f>
        <v>0</v>
      </c>
      <c r="S41" s="3450"/>
      <c r="T41" s="3450">
        <f>G41</f>
        <v>0</v>
      </c>
      <c r="U41" s="3450"/>
      <c r="V41" s="3450">
        <f>I41</f>
        <v>0</v>
      </c>
      <c r="W41" s="3450"/>
      <c r="X41" s="383"/>
      <c r="Y41" s="671"/>
      <c r="Z41" s="383"/>
      <c r="AA41" s="383"/>
      <c r="AB41" s="383"/>
      <c r="AC41" s="383"/>
    </row>
    <row r="42" spans="1:29" ht="1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55" t="str">
        <f>A42</f>
        <v>比较价值（元/平方米）</v>
      </c>
      <c r="Q42" s="3455"/>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0"/>
      <c r="M43" s="858"/>
      <c r="N43" s="858"/>
      <c r="O43" s="85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383"/>
      <c r="Y43" s="383"/>
      <c r="Z43" s="383"/>
      <c r="AA43" s="383"/>
      <c r="AB43" s="383"/>
      <c r="AC43" s="383"/>
    </row>
    <row r="44" spans="1:29">
      <c r="A44" s="2484"/>
      <c r="B44" s="2484"/>
      <c r="C44" s="2484"/>
      <c r="D44" s="2484"/>
      <c r="E44" s="2484"/>
      <c r="F44" s="2484"/>
      <c r="G44" s="2495"/>
      <c r="H44" s="2484"/>
      <c r="I44" s="2484"/>
      <c r="J44" s="2484"/>
      <c r="K44" s="2496"/>
      <c r="L44" s="833"/>
      <c r="M44" s="858"/>
      <c r="N44" s="858"/>
      <c r="O44" s="858"/>
    </row>
    <row r="45" spans="1:29">
      <c r="A45" s="2484"/>
      <c r="B45" s="2484"/>
      <c r="C45" s="2484"/>
      <c r="D45" s="2484"/>
      <c r="E45" s="2484"/>
      <c r="F45" s="2484"/>
      <c r="G45" s="2484"/>
      <c r="H45" s="2484"/>
      <c r="I45" s="2484"/>
      <c r="J45" s="2484"/>
      <c r="K45" s="2496"/>
      <c r="L45" s="833"/>
      <c r="M45" s="858"/>
      <c r="N45" s="858"/>
      <c r="O45" s="858"/>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3"/>
      <c r="M46" s="858"/>
      <c r="N46" s="858"/>
      <c r="O46" s="858"/>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3"/>
      <c r="M47" s="858"/>
      <c r="N47" s="858"/>
      <c r="O47" s="858"/>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3"/>
      <c r="M48" s="871"/>
      <c r="N48" s="871"/>
      <c r="O48" s="871"/>
    </row>
    <row r="49" spans="1:17" s="435" customFormat="1">
      <c r="A49" s="2494"/>
      <c r="B49" s="2497"/>
      <c r="C49" s="2498"/>
      <c r="D49" s="2494"/>
      <c r="E49" s="2494"/>
      <c r="F49" s="2494"/>
      <c r="G49" s="2494"/>
      <c r="H49" s="2494"/>
      <c r="I49" s="2494"/>
      <c r="J49" s="2494"/>
      <c r="K49" s="2499"/>
      <c r="L49" s="873"/>
      <c r="M49" s="871"/>
      <c r="N49" s="871"/>
      <c r="O49" s="871"/>
    </row>
    <row r="50" spans="1:17">
      <c r="A50" s="2484"/>
      <c r="B50" s="2497"/>
      <c r="C50" s="2498"/>
      <c r="D50" s="2484"/>
      <c r="E50" s="2484"/>
      <c r="F50" s="2484"/>
      <c r="G50" s="2484"/>
      <c r="H50" s="2484"/>
      <c r="I50" s="2484"/>
      <c r="J50" s="2484"/>
      <c r="K50" s="2496"/>
      <c r="L50" s="833"/>
      <c r="M50" s="858"/>
      <c r="N50" s="858"/>
      <c r="O50" s="858"/>
    </row>
    <row r="51" spans="1:17" ht="22.2" thickBot="1">
      <c r="A51" s="656" t="s">
        <v>1798</v>
      </c>
      <c r="B51" s="383"/>
      <c r="C51" s="657"/>
      <c r="D51" s="657"/>
      <c r="E51" s="657"/>
      <c r="F51" s="658"/>
      <c r="G51" s="658"/>
      <c r="H51" s="657"/>
      <c r="I51" s="657"/>
      <c r="J51" s="657"/>
      <c r="K51" s="884"/>
      <c r="L51" s="885"/>
      <c r="M51" s="883"/>
      <c r="N51" s="883"/>
      <c r="O51" s="883"/>
      <c r="P51" s="436"/>
      <c r="Q51" s="437"/>
    </row>
    <row r="52" spans="1:17" s="440" customFormat="1" ht="14.4">
      <c r="A52" s="438" t="s">
        <v>1679</v>
      </c>
      <c r="B52" s="439"/>
      <c r="C52" s="1100" t="str">
        <f>YEAR(C7)&amp;"-"&amp;MONTH(C7)</f>
        <v>2025-4</v>
      </c>
      <c r="D52" s="1101">
        <f>EDATE(C52,-1)</f>
        <v>45717</v>
      </c>
      <c r="E52" s="1101">
        <f t="shared" ref="E52:O52" si="13">EDATE(D52,-1)</f>
        <v>45689</v>
      </c>
      <c r="F52" s="1101">
        <f t="shared" si="13"/>
        <v>45658</v>
      </c>
      <c r="G52" s="1101">
        <f t="shared" si="13"/>
        <v>45627</v>
      </c>
      <c r="H52" s="1101">
        <f t="shared" si="13"/>
        <v>45597</v>
      </c>
      <c r="I52" s="1101">
        <f t="shared" si="13"/>
        <v>45566</v>
      </c>
      <c r="J52" s="1101">
        <f t="shared" si="13"/>
        <v>45536</v>
      </c>
      <c r="K52" s="1101">
        <f t="shared" si="13"/>
        <v>45505</v>
      </c>
      <c r="L52" s="1101">
        <f t="shared" si="13"/>
        <v>45474</v>
      </c>
      <c r="M52" s="1101">
        <f t="shared" si="13"/>
        <v>45444</v>
      </c>
      <c r="N52" s="1101">
        <f t="shared" si="13"/>
        <v>45413</v>
      </c>
      <c r="O52" s="1101">
        <f t="shared" si="13"/>
        <v>45383</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1716</v>
      </c>
      <c r="B54" s="448"/>
      <c r="C54" s="449"/>
      <c r="D54" s="450"/>
      <c r="E54" s="450"/>
      <c r="F54" s="450"/>
      <c r="G54" s="450"/>
      <c r="H54" s="450"/>
      <c r="I54" s="450"/>
      <c r="J54" s="450"/>
      <c r="K54" s="450"/>
      <c r="L54" s="450"/>
      <c r="M54" s="451"/>
      <c r="N54" s="2535"/>
      <c r="O54" s="2536"/>
      <c r="P54" s="437"/>
      <c r="Q54" s="437"/>
    </row>
    <row r="55" spans="1:17" s="101" customFormat="1" ht="14.4">
      <c r="A55" s="453" t="s">
        <v>1681</v>
      </c>
      <c r="B55" s="442"/>
      <c r="C55" s="454" t="s">
        <v>1776</v>
      </c>
      <c r="D55" s="31"/>
      <c r="E55" s="31"/>
      <c r="F55" s="31"/>
      <c r="G55" s="31"/>
      <c r="H55" s="31"/>
      <c r="I55" s="31"/>
      <c r="J55" s="31"/>
      <c r="K55" s="31"/>
      <c r="L55" s="455"/>
      <c r="M55" s="456"/>
      <c r="N55" s="875"/>
      <c r="O55" s="875"/>
      <c r="P55" s="457"/>
      <c r="Q55" s="437"/>
    </row>
    <row r="56" spans="1:17" s="101" customFormat="1" ht="14.4" thickBot="1">
      <c r="A56" s="453"/>
      <c r="B56" s="442"/>
      <c r="C56" s="561">
        <v>100</v>
      </c>
      <c r="D56" s="444"/>
      <c r="E56" s="444"/>
      <c r="F56" s="444"/>
      <c r="G56" s="444"/>
      <c r="H56" s="444"/>
      <c r="I56" s="444"/>
      <c r="J56" s="444"/>
      <c r="K56" s="444"/>
      <c r="L56" s="444"/>
      <c r="M56" s="446"/>
      <c r="N56" s="875"/>
      <c r="O56" s="875"/>
      <c r="P56" s="437"/>
      <c r="Q56" s="437"/>
    </row>
    <row r="57" spans="1:17" ht="14.4">
      <c r="A57" s="377" t="s">
        <v>1719</v>
      </c>
      <c r="B57" s="458" t="s">
        <v>1685</v>
      </c>
      <c r="C57" s="459">
        <f>C9</f>
        <v>0</v>
      </c>
      <c r="D57" s="460"/>
      <c r="E57" s="460"/>
      <c r="F57" s="460"/>
      <c r="G57" s="460"/>
      <c r="H57" s="460"/>
      <c r="I57" s="460"/>
      <c r="J57" s="460"/>
      <c r="K57" s="461"/>
      <c r="L57" s="462"/>
      <c r="M57" s="463"/>
      <c r="N57" s="876"/>
      <c r="O57" s="876"/>
      <c r="P57" s="40"/>
      <c r="Q57" s="437"/>
    </row>
    <row r="58" spans="1:17" ht="14.4" thickBot="1">
      <c r="A58" s="365"/>
      <c r="B58" s="464"/>
      <c r="C58" s="465">
        <v>100</v>
      </c>
      <c r="D58" s="465"/>
      <c r="E58" s="465"/>
      <c r="F58" s="465"/>
      <c r="G58" s="465"/>
      <c r="H58" s="465"/>
      <c r="I58" s="465"/>
      <c r="J58" s="465"/>
      <c r="K58" s="465"/>
      <c r="L58" s="465"/>
      <c r="M58" s="466"/>
      <c r="N58" s="877"/>
      <c r="O58" s="877"/>
      <c r="P58" s="40"/>
      <c r="Q58" s="437"/>
    </row>
    <row r="59" spans="1:17" ht="29.4" thickTop="1">
      <c r="A59" s="365"/>
      <c r="B59" s="467" t="s">
        <v>1688</v>
      </c>
      <c r="C59" s="511"/>
      <c r="D59" s="511"/>
      <c r="E59" s="511"/>
      <c r="F59" s="511"/>
      <c r="G59" s="511"/>
      <c r="H59" s="511"/>
      <c r="I59" s="511"/>
      <c r="J59" s="511"/>
      <c r="K59" s="512"/>
      <c r="L59" s="513"/>
      <c r="M59" s="514"/>
      <c r="N59" s="876"/>
      <c r="O59" s="876"/>
      <c r="P59" s="40"/>
      <c r="Q59" s="437"/>
    </row>
    <row r="60" spans="1:17" ht="14.4" thickBot="1">
      <c r="A60" s="365"/>
      <c r="B60" s="472"/>
      <c r="C60" s="465"/>
      <c r="D60" s="465"/>
      <c r="E60" s="465"/>
      <c r="F60" s="465"/>
      <c r="G60" s="465"/>
      <c r="H60" s="465"/>
      <c r="I60" s="465"/>
      <c r="J60" s="465"/>
      <c r="K60" s="465"/>
      <c r="L60" s="465"/>
      <c r="M60" s="466"/>
      <c r="N60" s="877"/>
      <c r="O60" s="877"/>
      <c r="P60" s="40"/>
      <c r="Q60" s="437"/>
    </row>
    <row r="61" spans="1:17" ht="1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7"/>
      <c r="O61" s="877"/>
      <c r="P61" s="40"/>
      <c r="Q61" s="437"/>
    </row>
    <row r="62" spans="1:17">
      <c r="A62" s="365"/>
      <c r="B62" s="477"/>
      <c r="C62" s="478">
        <v>0</v>
      </c>
      <c r="D62" s="478">
        <v>2</v>
      </c>
      <c r="E62" s="478"/>
      <c r="F62" s="478"/>
      <c r="G62" s="478"/>
      <c r="H62" s="478"/>
      <c r="I62" s="478"/>
      <c r="J62" s="478"/>
      <c r="K62" s="479"/>
      <c r="L62" s="480"/>
      <c r="M62" s="481"/>
      <c r="N62" s="876"/>
      <c r="O62" s="876"/>
      <c r="P62" s="40"/>
      <c r="Q62" s="437"/>
    </row>
    <row r="63" spans="1:17" ht="14.4"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7"/>
      <c r="O63" s="877"/>
      <c r="P63" s="40"/>
      <c r="Q63" s="437"/>
    </row>
    <row r="64" spans="1:17" s="406" customFormat="1" ht="14.4" thickTop="1">
      <c r="A64" s="482"/>
      <c r="B64" s="467">
        <f>B12</f>
        <v>111</v>
      </c>
      <c r="C64" s="483"/>
      <c r="D64" s="483"/>
      <c r="E64" s="483"/>
      <c r="F64" s="483"/>
      <c r="G64" s="483"/>
      <c r="H64" s="484"/>
      <c r="I64" s="484"/>
      <c r="J64" s="484"/>
      <c r="K64" s="484"/>
      <c r="L64" s="485"/>
      <c r="M64" s="486"/>
      <c r="N64" s="878"/>
      <c r="O64" s="878"/>
      <c r="P64" s="487"/>
      <c r="Q64" s="488"/>
    </row>
    <row r="65" spans="1:17" s="406" customFormat="1" ht="14.4" thickBot="1">
      <c r="A65" s="482"/>
      <c r="B65" s="472"/>
      <c r="C65" s="489"/>
      <c r="D65" s="465"/>
      <c r="E65" s="465"/>
      <c r="F65" s="465"/>
      <c r="G65" s="465"/>
      <c r="H65" s="465"/>
      <c r="I65" s="465"/>
      <c r="J65" s="465"/>
      <c r="K65" s="465"/>
      <c r="L65" s="465"/>
      <c r="M65" s="466"/>
      <c r="N65" s="877"/>
      <c r="O65" s="877"/>
      <c r="P65" s="487"/>
      <c r="Q65" s="488"/>
    </row>
    <row r="66" spans="1:17" s="406" customFormat="1" ht="14.4" thickTop="1">
      <c r="A66" s="482"/>
      <c r="B66" s="467">
        <f>B13</f>
        <v>111</v>
      </c>
      <c r="C66" s="483"/>
      <c r="D66" s="483"/>
      <c r="E66" s="483"/>
      <c r="F66" s="483"/>
      <c r="G66" s="483"/>
      <c r="H66" s="484"/>
      <c r="I66" s="484"/>
      <c r="J66" s="484"/>
      <c r="K66" s="484"/>
      <c r="L66" s="485"/>
      <c r="M66" s="486"/>
      <c r="N66" s="878"/>
      <c r="O66" s="878"/>
      <c r="Q66" s="490"/>
    </row>
    <row r="67" spans="1:17" s="406" customFormat="1" ht="14.4" thickBot="1">
      <c r="A67" s="482"/>
      <c r="B67" s="472"/>
      <c r="C67" s="489"/>
      <c r="D67" s="465"/>
      <c r="E67" s="465"/>
      <c r="F67" s="465"/>
      <c r="G67" s="489"/>
      <c r="H67" s="491"/>
      <c r="I67" s="491"/>
      <c r="J67" s="491"/>
      <c r="K67" s="491"/>
      <c r="L67" s="491"/>
      <c r="M67" s="492"/>
      <c r="N67" s="878"/>
      <c r="O67" s="878"/>
      <c r="P67" s="487"/>
      <c r="Q67" s="488"/>
    </row>
    <row r="68" spans="1:17" s="406" customFormat="1" ht="14.4" thickTop="1">
      <c r="A68" s="482"/>
      <c r="B68" s="475">
        <f>B14</f>
        <v>111</v>
      </c>
      <c r="C68" s="31"/>
      <c r="D68" s="31"/>
      <c r="E68" s="31"/>
      <c r="F68" s="31"/>
      <c r="G68" s="31"/>
      <c r="H68" s="493"/>
      <c r="I68" s="493"/>
      <c r="J68" s="493"/>
      <c r="K68" s="493"/>
      <c r="L68" s="494"/>
      <c r="M68" s="495"/>
      <c r="N68" s="878"/>
      <c r="O68" s="878"/>
      <c r="P68" s="496"/>
      <c r="Q68" s="488"/>
    </row>
    <row r="69" spans="1:17" s="406" customFormat="1" ht="14.4" thickBot="1">
      <c r="A69" s="497"/>
      <c r="B69" s="498"/>
      <c r="C69" s="499"/>
      <c r="D69" s="499"/>
      <c r="E69" s="499"/>
      <c r="F69" s="499"/>
      <c r="G69" s="499"/>
      <c r="H69" s="500"/>
      <c r="I69" s="500"/>
      <c r="J69" s="500"/>
      <c r="K69" s="500"/>
      <c r="L69" s="500"/>
      <c r="M69" s="501"/>
      <c r="N69" s="878"/>
      <c r="O69" s="878"/>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4.4" thickTop="1">
      <c r="A80" s="368"/>
      <c r="B80" s="467">
        <f>B25</f>
        <v>111</v>
      </c>
      <c r="C80" s="483"/>
      <c r="D80" s="483"/>
      <c r="E80" s="483"/>
      <c r="F80" s="483"/>
      <c r="G80" s="483"/>
      <c r="H80" s="483"/>
      <c r="I80" s="483"/>
      <c r="J80" s="483"/>
      <c r="K80" s="483"/>
      <c r="L80" s="508"/>
      <c r="M80" s="509"/>
      <c r="N80" s="875"/>
      <c r="O80" s="875"/>
      <c r="P80" s="40"/>
      <c r="Q80" s="437"/>
    </row>
    <row r="81" spans="1:17" s="101" customFormat="1" ht="14.4" thickBot="1">
      <c r="A81" s="368"/>
      <c r="B81" s="472"/>
      <c r="C81" s="489"/>
      <c r="D81" s="465"/>
      <c r="E81" s="465"/>
      <c r="F81" s="465"/>
      <c r="G81" s="465"/>
      <c r="H81" s="465"/>
      <c r="I81" s="465"/>
      <c r="J81" s="465"/>
      <c r="K81" s="465"/>
      <c r="L81" s="465"/>
      <c r="M81" s="466"/>
      <c r="N81" s="877"/>
      <c r="O81" s="877"/>
      <c r="P81" s="40"/>
      <c r="Q81" s="437"/>
    </row>
    <row r="82" spans="1:17" s="101" customFormat="1" ht="14.4" thickTop="1">
      <c r="A82" s="368"/>
      <c r="B82" s="467">
        <f>B26</f>
        <v>111</v>
      </c>
      <c r="C82" s="483"/>
      <c r="D82" s="483"/>
      <c r="E82" s="483"/>
      <c r="F82" s="483"/>
      <c r="G82" s="483"/>
      <c r="H82" s="483"/>
      <c r="I82" s="483"/>
      <c r="J82" s="483"/>
      <c r="K82" s="483"/>
      <c r="L82" s="508"/>
      <c r="M82" s="509"/>
      <c r="N82" s="875"/>
      <c r="O82" s="875"/>
      <c r="P82" s="40"/>
      <c r="Q82" s="437"/>
    </row>
    <row r="83" spans="1:17" s="101" customFormat="1" ht="14.4" thickBot="1">
      <c r="A83" s="368"/>
      <c r="B83" s="472"/>
      <c r="C83" s="489"/>
      <c r="D83" s="465"/>
      <c r="E83" s="465"/>
      <c r="F83" s="465"/>
      <c r="G83" s="465"/>
      <c r="H83" s="465"/>
      <c r="I83" s="465"/>
      <c r="J83" s="465"/>
      <c r="K83" s="465"/>
      <c r="L83" s="465"/>
      <c r="M83" s="466"/>
      <c r="N83" s="877"/>
      <c r="O83" s="877"/>
      <c r="P83" s="40"/>
      <c r="Q83" s="437"/>
    </row>
    <row r="84" spans="1:17" s="406" customFormat="1" ht="14.4" thickTop="1">
      <c r="A84" s="482"/>
      <c r="B84" s="467">
        <f>B27</f>
        <v>111</v>
      </c>
      <c r="C84" s="483"/>
      <c r="D84" s="483"/>
      <c r="E84" s="483"/>
      <c r="F84" s="483"/>
      <c r="G84" s="483"/>
      <c r="H84" s="483"/>
      <c r="I84" s="483"/>
      <c r="J84" s="483"/>
      <c r="K84" s="483"/>
      <c r="L84" s="508"/>
      <c r="M84" s="509"/>
      <c r="N84" s="878"/>
      <c r="O84" s="878"/>
      <c r="P84" s="487"/>
      <c r="Q84" s="488"/>
    </row>
    <row r="85" spans="1:17" s="406" customFormat="1" ht="14.4" thickBot="1">
      <c r="A85" s="482"/>
      <c r="B85" s="472"/>
      <c r="C85" s="489"/>
      <c r="D85" s="465"/>
      <c r="E85" s="465"/>
      <c r="F85" s="465"/>
      <c r="G85" s="465"/>
      <c r="H85" s="465"/>
      <c r="I85" s="465"/>
      <c r="J85" s="465"/>
      <c r="K85" s="465"/>
      <c r="L85" s="465"/>
      <c r="M85" s="466"/>
      <c r="N85" s="878"/>
      <c r="O85" s="878"/>
      <c r="P85" s="487"/>
      <c r="Q85" s="488"/>
    </row>
    <row r="86" spans="1:17" ht="14.4" thickTop="1">
      <c r="A86" s="365"/>
      <c r="B86" s="475">
        <f>B28</f>
        <v>111</v>
      </c>
      <c r="C86" s="31"/>
      <c r="D86" s="31"/>
      <c r="E86" s="31"/>
      <c r="F86" s="31"/>
      <c r="G86" s="515"/>
      <c r="H86" s="515"/>
      <c r="I86" s="515"/>
      <c r="J86" s="515"/>
      <c r="K86" s="516"/>
      <c r="L86" s="517"/>
      <c r="M86" s="518"/>
      <c r="N86" s="876"/>
      <c r="O86" s="876"/>
      <c r="P86" s="40"/>
      <c r="Q86" s="437"/>
    </row>
    <row r="87" spans="1:17" ht="14.4" thickBot="1">
      <c r="A87" s="373"/>
      <c r="B87" s="498"/>
      <c r="C87" s="499"/>
      <c r="D87" s="499"/>
      <c r="E87" s="499"/>
      <c r="F87" s="499"/>
      <c r="G87" s="519"/>
      <c r="H87" s="519"/>
      <c r="I87" s="519"/>
      <c r="J87" s="519"/>
      <c r="K87" s="519"/>
      <c r="L87" s="519"/>
      <c r="M87" s="520"/>
      <c r="N87" s="877"/>
      <c r="O87" s="877"/>
      <c r="P87" s="40"/>
      <c r="Q87" s="437"/>
    </row>
    <row r="88" spans="1:17" ht="14.4">
      <c r="A88" s="377" t="s">
        <v>1694</v>
      </c>
      <c r="B88" s="458" t="s">
        <v>1736</v>
      </c>
      <c r="C88" s="460"/>
      <c r="D88" s="460"/>
      <c r="E88" s="460"/>
      <c r="F88" s="460"/>
      <c r="G88" s="460"/>
      <c r="H88" s="460"/>
      <c r="I88" s="460"/>
      <c r="J88" s="460"/>
      <c r="K88" s="461"/>
      <c r="L88" s="462"/>
      <c r="M88" s="463"/>
      <c r="N88" s="876"/>
      <c r="O88" s="876"/>
      <c r="P88" s="40"/>
      <c r="Q88" s="437"/>
    </row>
    <row r="89" spans="1:17" ht="14.4"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7"/>
      <c r="O89" s="877"/>
      <c r="P89" s="40"/>
      <c r="Q89" s="437"/>
    </row>
    <row r="90" spans="1:17" ht="15" thickTop="1">
      <c r="A90" s="365"/>
      <c r="B90" s="467" t="s">
        <v>1737</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4.4"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4.4"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4.4"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4.4"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4.4"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4.4"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4.4"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7"/>
      <c r="O107" s="877"/>
      <c r="P107" s="40"/>
      <c r="Q107" s="437"/>
    </row>
    <row r="108" spans="1:17" s="406" customFormat="1" ht="14.4"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4.4" thickBot="1">
      <c r="A109" s="482"/>
      <c r="B109" s="464"/>
      <c r="C109" s="489"/>
      <c r="D109" s="465"/>
      <c r="E109" s="465"/>
      <c r="F109" s="465"/>
      <c r="G109" s="489"/>
      <c r="H109" s="491"/>
      <c r="I109" s="491"/>
      <c r="J109" s="491"/>
      <c r="K109" s="491"/>
      <c r="L109" s="491"/>
      <c r="M109" s="492"/>
      <c r="N109" s="878"/>
      <c r="O109" s="878"/>
      <c r="P109" s="487"/>
      <c r="Q109" s="488"/>
    </row>
    <row r="110" spans="1:17" ht="14.4" thickTop="1">
      <c r="A110" s="407"/>
      <c r="B110" s="467">
        <f>B39</f>
        <v>111</v>
      </c>
      <c r="C110" s="483"/>
      <c r="D110" s="483"/>
      <c r="E110" s="483"/>
      <c r="F110" s="483"/>
      <c r="G110" s="483"/>
      <c r="H110" s="484"/>
      <c r="I110" s="484"/>
      <c r="J110" s="484"/>
      <c r="K110" s="484"/>
      <c r="L110" s="485"/>
      <c r="M110" s="486"/>
      <c r="N110" s="876"/>
      <c r="O110" s="876"/>
      <c r="P110" s="40"/>
      <c r="Q110" s="437"/>
    </row>
    <row r="111" spans="1:17" ht="14.4" thickBot="1">
      <c r="A111" s="365"/>
      <c r="B111" s="472"/>
      <c r="C111" s="489"/>
      <c r="D111" s="465"/>
      <c r="E111" s="465"/>
      <c r="F111" s="465"/>
      <c r="G111" s="489"/>
      <c r="H111" s="491"/>
      <c r="I111" s="491"/>
      <c r="J111" s="491"/>
      <c r="K111" s="491"/>
      <c r="L111" s="491"/>
      <c r="M111" s="492"/>
      <c r="N111" s="877"/>
      <c r="O111" s="877"/>
      <c r="P111" s="40"/>
      <c r="Q111" s="437"/>
    </row>
    <row r="112" spans="1:17" ht="14.4" thickTop="1">
      <c r="A112" s="407"/>
      <c r="B112" s="475">
        <f>B40</f>
        <v>111</v>
      </c>
      <c r="C112" s="31"/>
      <c r="D112" s="31"/>
      <c r="E112" s="31"/>
      <c r="F112" s="31"/>
      <c r="G112" s="515"/>
      <c r="H112" s="515"/>
      <c r="I112" s="515"/>
      <c r="J112" s="515"/>
      <c r="K112" s="31"/>
      <c r="L112" s="455"/>
      <c r="M112" s="518"/>
      <c r="N112" s="876"/>
      <c r="O112" s="876"/>
      <c r="P112" s="40"/>
      <c r="Q112" s="437"/>
    </row>
    <row r="113" spans="1:17" ht="14.4"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3329</v>
      </c>
      <c r="C1" s="1138" t="s">
        <v>1662</v>
      </c>
      <c r="D1" s="1139"/>
      <c r="E1" s="3128"/>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500"/>
      <c r="M3" s="2501" t="e">
        <f ca="1">IF(C2="——",IF(B37="元/平方米",ROUND(C39*D3/10000,0),ROUND(F3*C39/10000,0)),IF(B37="元/平方米",ROUND(C39*D3/10000,0),ROUND(F3*C39/10000,0))-D2)</f>
        <v>#DIV/0!</v>
      </c>
      <c r="N3" s="2501"/>
      <c r="O3" s="2501"/>
      <c r="P3" s="1083"/>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45762</v>
      </c>
      <c r="D7" s="353">
        <v>100</v>
      </c>
      <c r="E7" s="354"/>
      <c r="F7" s="355">
        <f>SUMIF(48:48,YEAR(E7)&amp;"-"&amp;MONTH(E7),49:49)</f>
        <v>0</v>
      </c>
      <c r="G7" s="354"/>
      <c r="H7" s="353">
        <f>SUMIF(48:48,YEAR(G7)&amp;"-"&amp;MONTH(G7),49:49)</f>
        <v>0</v>
      </c>
      <c r="I7" s="354"/>
      <c r="J7" s="353">
        <f>SUMIF(48:48,YEAR(I7)&amp;"-"&amp;MONTH(I7),49:49)</f>
        <v>0</v>
      </c>
      <c r="K7" s="38"/>
      <c r="L7" s="2485"/>
      <c r="M7" s="2437"/>
      <c r="N7" s="2437"/>
      <c r="O7" s="2437"/>
      <c r="P7" s="3423" t="s">
        <v>1680</v>
      </c>
      <c r="Q7" s="3451"/>
      <c r="R7" s="662" t="s">
        <v>14</v>
      </c>
      <c r="S7" s="663">
        <f t="shared" ref="S7:S14" si="0">F7</f>
        <v>0</v>
      </c>
      <c r="T7" s="662" t="s">
        <v>14</v>
      </c>
      <c r="U7" s="663">
        <f t="shared" ref="U7:U14" si="1">H7</f>
        <v>0</v>
      </c>
      <c r="V7" s="662" t="s">
        <v>14</v>
      </c>
      <c r="W7" s="663">
        <f t="shared" ref="W7:W14"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7"/>
      <c r="N8" s="2437"/>
      <c r="O8" s="2437"/>
      <c r="P8" s="3423" t="s">
        <v>1683</v>
      </c>
      <c r="Q8" s="3424"/>
      <c r="R8" s="662" t="s">
        <v>14</v>
      </c>
      <c r="S8" s="663">
        <f t="shared" si="0"/>
        <v>100</v>
      </c>
      <c r="T8" s="662" t="s">
        <v>14</v>
      </c>
      <c r="U8" s="663">
        <f t="shared" si="1"/>
        <v>100</v>
      </c>
      <c r="V8" s="662" t="s">
        <v>14</v>
      </c>
      <c r="W8" s="663">
        <f t="shared" si="2"/>
        <v>100</v>
      </c>
      <c r="X8" s="664"/>
      <c r="Y8" s="3423" t="s">
        <v>1683</v>
      </c>
      <c r="Z8" s="3424"/>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7"/>
      <c r="N9" s="2437"/>
      <c r="O9" s="2437"/>
      <c r="P9" s="3455" t="s">
        <v>1686</v>
      </c>
      <c r="Q9" s="528"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4" customFormat="1" ht="28.8">
      <c r="A10" s="563"/>
      <c r="B10" s="564" t="s">
        <v>1688</v>
      </c>
      <c r="C10" s="3129"/>
      <c r="D10" s="117">
        <v>100</v>
      </c>
      <c r="E10" s="3129"/>
      <c r="F10" s="117">
        <f>SUMIF(55:55,E10,56:56)-SUMIF(55:55,C10,56:56)+100</f>
        <v>100</v>
      </c>
      <c r="G10" s="3130"/>
      <c r="H10" s="117">
        <f>SUMIF(55:55,G10,56:56)-SUMIF(55:55,C10,56:56)+100</f>
        <v>100</v>
      </c>
      <c r="I10" s="3129"/>
      <c r="J10" s="117">
        <f>SUMIF(55:55,I10,56:56)-SUMIF(55:55,C10,56:56)+100</f>
        <v>100</v>
      </c>
      <c r="K10" s="38"/>
      <c r="L10" s="2486"/>
      <c r="M10" s="2487"/>
      <c r="N10" s="2487"/>
      <c r="O10" s="2487"/>
      <c r="P10" s="3455"/>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8"/>
      <c r="M11" s="2484"/>
      <c r="N11" s="2484"/>
      <c r="O11" s="2484"/>
      <c r="P11" s="3455"/>
      <c r="Q11" s="528">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5"/>
      <c r="M12" s="2437"/>
      <c r="N12" s="2437"/>
      <c r="O12" s="2437"/>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9"/>
      <c r="M13" s="2484"/>
      <c r="N13" s="2484"/>
      <c r="O13" s="2484"/>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96.6">
      <c r="A14" s="343" t="s">
        <v>1690</v>
      </c>
      <c r="B14" s="552" t="s">
        <v>1833</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9"/>
      <c r="M15" s="2484"/>
      <c r="N15" s="2484"/>
      <c r="O15" s="2484"/>
      <c r="P15" s="3457"/>
      <c r="Q15" s="1260"/>
      <c r="R15" s="665"/>
      <c r="S15" s="666"/>
      <c r="T15" s="665"/>
      <c r="U15" s="666"/>
      <c r="V15" s="665"/>
      <c r="W15" s="666"/>
      <c r="X15" s="1262"/>
      <c r="Y15" s="3457"/>
      <c r="Z15" s="1261"/>
      <c r="AA15" s="1261">
        <v>1</v>
      </c>
      <c r="AB15" s="1261">
        <v>1</v>
      </c>
      <c r="AC15" s="1261">
        <v>1</v>
      </c>
    </row>
    <row r="16" spans="1:29" ht="55.2">
      <c r="A16" s="346"/>
      <c r="B16" s="554" t="s">
        <v>1812</v>
      </c>
      <c r="C16" s="1751" t="str">
        <f>IF(B1="工业",估价对象房地状况!G5,估价对象房地状况!C7)</f>
        <v>估价对象所在区域公共配套设施齐备情况较好</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9"/>
      <c r="M17" s="2484"/>
      <c r="N17" s="2484"/>
      <c r="O17" s="2484"/>
      <c r="P17" s="3457"/>
      <c r="Q17" s="1260"/>
      <c r="R17" s="665"/>
      <c r="S17" s="666"/>
      <c r="T17" s="665"/>
      <c r="U17" s="666"/>
      <c r="V17" s="665"/>
      <c r="W17" s="666"/>
      <c r="X17" s="1262"/>
      <c r="Y17" s="3457"/>
      <c r="Z17" s="1261"/>
      <c r="AA17" s="1261">
        <v>1</v>
      </c>
      <c r="AB17" s="1261">
        <v>1</v>
      </c>
      <c r="AC17" s="1261">
        <v>1</v>
      </c>
    </row>
    <row r="18" spans="1:29" ht="41.4">
      <c r="A18" s="346"/>
      <c r="B18" s="555" t="s">
        <v>1813</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D18/F18</f>
        <v>1</v>
      </c>
      <c r="AB18" s="1261">
        <f>D18/H18</f>
        <v>1</v>
      </c>
      <c r="AC18" s="1261">
        <f>D18/J18</f>
        <v>1</v>
      </c>
    </row>
    <row r="19" spans="1:29" ht="15">
      <c r="A19" s="346"/>
      <c r="B19" s="555"/>
      <c r="C19" s="1752"/>
      <c r="D19" s="387"/>
      <c r="E19" s="1752"/>
      <c r="F19" s="390"/>
      <c r="G19" s="1752"/>
      <c r="H19" s="385"/>
      <c r="I19" s="384"/>
      <c r="J19" s="385"/>
      <c r="K19" s="1061"/>
      <c r="L19" s="2489"/>
      <c r="M19" s="2484"/>
      <c r="N19" s="2484"/>
      <c r="O19" s="2484"/>
      <c r="P19" s="3457"/>
      <c r="Q19" s="1260"/>
      <c r="R19" s="665"/>
      <c r="S19" s="666"/>
      <c r="T19" s="665"/>
      <c r="U19" s="666"/>
      <c r="V19" s="665"/>
      <c r="W19" s="666"/>
      <c r="X19" s="1262"/>
      <c r="Y19" s="3457"/>
      <c r="Z19" s="1261"/>
      <c r="AA19" s="1261">
        <v>1</v>
      </c>
      <c r="AB19" s="1261">
        <v>1</v>
      </c>
      <c r="AC19" s="1261">
        <v>1</v>
      </c>
    </row>
    <row r="20" spans="1:29" ht="55.2">
      <c r="A20" s="346"/>
      <c r="B20" s="554" t="s">
        <v>1834</v>
      </c>
      <c r="C20" s="1751" t="str">
        <f>IF(B1="工业",估价对象房地状况!G7,估价对象房地状况!C9)</f>
        <v>区域自然环境：；人文环境；综合评价环境状况较好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9"/>
      <c r="M21" s="2484"/>
      <c r="N21" s="2484"/>
      <c r="O21" s="2484"/>
      <c r="P21" s="3457"/>
      <c r="Q21" s="1260"/>
      <c r="R21" s="665"/>
      <c r="S21" s="666"/>
      <c r="T21" s="665"/>
      <c r="U21" s="666"/>
      <c r="V21" s="665"/>
      <c r="W21" s="666"/>
      <c r="X21" s="1262"/>
      <c r="Y21" s="3457"/>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457"/>
      <c r="Q24" s="1260">
        <f t="shared" ref="Q24:Q36" si="8">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7"/>
      <c r="N25" s="2437"/>
      <c r="O25" s="2437"/>
      <c r="P25" s="3457"/>
      <c r="Q25" s="528">
        <f t="shared" si="8"/>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480"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461" t="s">
        <v>1696</v>
      </c>
      <c r="Z26" s="1261" t="str">
        <f t="shared" ref="Z26:Z36" si="12">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461"/>
      <c r="Q27" s="529" t="str">
        <f t="shared" si="8"/>
        <v>项目停车位配比</v>
      </c>
      <c r="R27" s="667" t="s">
        <v>14</v>
      </c>
      <c r="S27" s="668">
        <f t="shared" si="9"/>
        <v>100</v>
      </c>
      <c r="T27" s="667" t="s">
        <v>14</v>
      </c>
      <c r="U27" s="668">
        <f t="shared" si="10"/>
        <v>100</v>
      </c>
      <c r="V27" s="667" t="s">
        <v>14</v>
      </c>
      <c r="W27" s="668">
        <f t="shared" si="11"/>
        <v>100</v>
      </c>
      <c r="X27" s="669"/>
      <c r="Y27" s="3461"/>
      <c r="Z27" s="670" t="str">
        <f t="shared" si="12"/>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461"/>
      <c r="Q28" s="1260" t="str">
        <f t="shared" si="8"/>
        <v>公共部分装修</v>
      </c>
      <c r="R28" s="665" t="s">
        <v>14</v>
      </c>
      <c r="S28" s="666">
        <f t="shared" si="9"/>
        <v>100</v>
      </c>
      <c r="T28" s="665" t="s">
        <v>14</v>
      </c>
      <c r="U28" s="666">
        <f t="shared" si="10"/>
        <v>100</v>
      </c>
      <c r="V28" s="665" t="s">
        <v>14</v>
      </c>
      <c r="W28" s="666">
        <f t="shared" si="11"/>
        <v>100</v>
      </c>
      <c r="X28" s="1262"/>
      <c r="Y28" s="3461"/>
      <c r="Z28" s="1261" t="str">
        <f t="shared" si="12"/>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461"/>
      <c r="Q29" s="1260" t="str">
        <f t="shared" si="8"/>
        <v>成新率</v>
      </c>
      <c r="R29" s="665" t="s">
        <v>14</v>
      </c>
      <c r="S29" s="666" t="e">
        <f t="shared" si="9"/>
        <v>#N/A</v>
      </c>
      <c r="T29" s="665" t="s">
        <v>14</v>
      </c>
      <c r="U29" s="666" t="e">
        <f t="shared" si="10"/>
        <v>#N/A</v>
      </c>
      <c r="V29" s="665" t="s">
        <v>14</v>
      </c>
      <c r="W29" s="666" t="e">
        <f t="shared" si="11"/>
        <v>#N/A</v>
      </c>
      <c r="X29" s="1262"/>
      <c r="Y29" s="3461"/>
      <c r="Z29" s="1261" t="str">
        <f t="shared" si="12"/>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461"/>
      <c r="Q30" s="1260" t="str">
        <f t="shared" si="8"/>
        <v>物业等级</v>
      </c>
      <c r="R30" s="665" t="s">
        <v>14</v>
      </c>
      <c r="S30" s="666">
        <f t="shared" si="9"/>
        <v>100</v>
      </c>
      <c r="T30" s="665" t="s">
        <v>14</v>
      </c>
      <c r="U30" s="666">
        <f t="shared" si="10"/>
        <v>100</v>
      </c>
      <c r="V30" s="665" t="s">
        <v>14</v>
      </c>
      <c r="W30" s="666">
        <f t="shared" si="11"/>
        <v>100</v>
      </c>
      <c r="X30" s="1262"/>
      <c r="Y30" s="3461"/>
      <c r="Z30" s="1261" t="str">
        <f t="shared" si="12"/>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5"/>
      <c r="M31" s="2437"/>
      <c r="N31" s="2437"/>
      <c r="O31" s="2437"/>
      <c r="P31" s="3461"/>
      <c r="Q31" s="528" t="str">
        <f t="shared" si="8"/>
        <v>停车位面积</v>
      </c>
      <c r="R31" s="662" t="s">
        <v>14</v>
      </c>
      <c r="S31" s="663" t="e">
        <f t="shared" si="9"/>
        <v>#N/A</v>
      </c>
      <c r="T31" s="662" t="s">
        <v>14</v>
      </c>
      <c r="U31" s="663" t="e">
        <f t="shared" si="10"/>
        <v>#N/A</v>
      </c>
      <c r="V31" s="662" t="s">
        <v>14</v>
      </c>
      <c r="W31" s="663" t="e">
        <f t="shared" si="11"/>
        <v>#N/A</v>
      </c>
      <c r="X31" s="664"/>
      <c r="Y31" s="3461"/>
      <c r="Z31" s="50" t="str">
        <f t="shared" si="12"/>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461" t="s">
        <v>1696</v>
      </c>
      <c r="Q32" s="1260" t="str">
        <f t="shared" si="8"/>
        <v>车位类型</v>
      </c>
      <c r="R32" s="665" t="s">
        <v>14</v>
      </c>
      <c r="S32" s="666">
        <f t="shared" si="9"/>
        <v>100</v>
      </c>
      <c r="T32" s="665" t="s">
        <v>14</v>
      </c>
      <c r="U32" s="666">
        <f t="shared" si="10"/>
        <v>100</v>
      </c>
      <c r="V32" s="665" t="s">
        <v>14</v>
      </c>
      <c r="W32" s="666">
        <f t="shared" si="11"/>
        <v>100</v>
      </c>
      <c r="X32" s="1262"/>
      <c r="Y32" s="3461" t="s">
        <v>1696</v>
      </c>
      <c r="Z32" s="1261" t="str">
        <f t="shared" si="12"/>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461"/>
      <c r="Q33" s="1260" t="str">
        <f t="shared" si="8"/>
        <v>是否直接入户</v>
      </c>
      <c r="R33" s="665" t="s">
        <v>14</v>
      </c>
      <c r="S33" s="666">
        <f t="shared" si="9"/>
        <v>100</v>
      </c>
      <c r="T33" s="665" t="s">
        <v>14</v>
      </c>
      <c r="U33" s="666">
        <f t="shared" si="10"/>
        <v>100</v>
      </c>
      <c r="V33" s="665" t="s">
        <v>14</v>
      </c>
      <c r="W33" s="666">
        <f t="shared" si="11"/>
        <v>100</v>
      </c>
      <c r="X33" s="1262"/>
      <c r="Y33" s="3461"/>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461"/>
      <c r="Q34" s="1260">
        <f t="shared" si="8"/>
        <v>111</v>
      </c>
      <c r="R34" s="665" t="s">
        <v>14</v>
      </c>
      <c r="S34" s="666">
        <f t="shared" si="9"/>
        <v>100</v>
      </c>
      <c r="T34" s="665" t="s">
        <v>14</v>
      </c>
      <c r="U34" s="666">
        <f t="shared" si="10"/>
        <v>100</v>
      </c>
      <c r="V34" s="665" t="s">
        <v>14</v>
      </c>
      <c r="W34" s="666">
        <f t="shared" si="11"/>
        <v>100</v>
      </c>
      <c r="X34" s="1262"/>
      <c r="Y34" s="3461"/>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461"/>
      <c r="Q35" s="529">
        <f t="shared" si="8"/>
        <v>111</v>
      </c>
      <c r="R35" s="667" t="s">
        <v>14</v>
      </c>
      <c r="S35" s="668">
        <f t="shared" si="9"/>
        <v>100</v>
      </c>
      <c r="T35" s="667" t="s">
        <v>14</v>
      </c>
      <c r="U35" s="668">
        <f t="shared" si="10"/>
        <v>100</v>
      </c>
      <c r="V35" s="667" t="s">
        <v>14</v>
      </c>
      <c r="W35" s="668">
        <f t="shared" si="11"/>
        <v>100</v>
      </c>
      <c r="X35" s="669"/>
      <c r="Y35" s="3461"/>
      <c r="Z35" s="670">
        <f t="shared" si="12"/>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461"/>
      <c r="Q36" s="1260">
        <f t="shared" si="8"/>
        <v>111</v>
      </c>
      <c r="R36" s="665" t="s">
        <v>14</v>
      </c>
      <c r="S36" s="666">
        <f t="shared" si="9"/>
        <v>100</v>
      </c>
      <c r="T36" s="665" t="s">
        <v>14</v>
      </c>
      <c r="U36" s="666">
        <f t="shared" si="10"/>
        <v>100</v>
      </c>
      <c r="V36" s="665" t="s">
        <v>14</v>
      </c>
      <c r="W36" s="666">
        <f t="shared" si="11"/>
        <v>100</v>
      </c>
      <c r="X36" s="1262"/>
      <c r="Y36" s="3461"/>
      <c r="Z36" s="1261">
        <f t="shared" si="12"/>
        <v>111</v>
      </c>
      <c r="AA36" s="1261">
        <f t="shared" si="3"/>
        <v>1</v>
      </c>
      <c r="AB36" s="1261">
        <f t="shared" si="4"/>
        <v>1</v>
      </c>
      <c r="AC36" s="1261">
        <f t="shared" si="5"/>
        <v>1</v>
      </c>
    </row>
    <row r="37" spans="1:29" ht="14.4">
      <c r="A37" s="414" t="s">
        <v>1844</v>
      </c>
      <c r="B37" s="1818" t="s">
        <v>3349</v>
      </c>
      <c r="C37" s="1078" t="s">
        <v>0</v>
      </c>
      <c r="D37" s="416"/>
      <c r="E37" s="417"/>
      <c r="F37" s="418"/>
      <c r="G37" s="419"/>
      <c r="H37" s="420"/>
      <c r="I37" s="417"/>
      <c r="J37" s="420"/>
      <c r="K37" s="543"/>
      <c r="L37" s="2491"/>
      <c r="M37" s="2484"/>
      <c r="N37" s="2484"/>
      <c r="O37" s="2484"/>
      <c r="P37" s="3455" t="str">
        <f>A37</f>
        <v>成交单价</v>
      </c>
      <c r="Q37" s="3455"/>
      <c r="R37" s="3450">
        <f>E37</f>
        <v>0</v>
      </c>
      <c r="S37" s="3450"/>
      <c r="T37" s="3450">
        <f>G37</f>
        <v>0</v>
      </c>
      <c r="U37" s="3450"/>
      <c r="V37" s="3450">
        <f>I37</f>
        <v>0</v>
      </c>
      <c r="W37" s="3450"/>
      <c r="X37" s="383"/>
      <c r="Y37" s="671"/>
      <c r="Z37" s="383"/>
      <c r="AA37" s="383"/>
      <c r="AB37" s="383"/>
      <c r="AC37" s="383"/>
    </row>
    <row r="38" spans="1:29" ht="1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91"/>
      <c r="M38" s="2484"/>
      <c r="N38" s="2484"/>
      <c r="O38" s="2484"/>
      <c r="P38" s="3455" t="str">
        <f>A38</f>
        <v>比较价值（元/平方米）</v>
      </c>
      <c r="Q38" s="3455"/>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1"/>
      <c r="M39" s="2484"/>
      <c r="N39" s="2484"/>
      <c r="O39" s="2484"/>
      <c r="P39" s="3452" t="str">
        <f>A39</f>
        <v>估价对象XX用房的比较价值（楼面单价，元/平方米）</v>
      </c>
      <c r="Q39" s="3453"/>
      <c r="R39" s="3481" t="e">
        <f>IF(F1="售价",ROUND(IF(D38="简单平均",AVERAGE(R38:W38),R38*F38+T38*H38+V38*J38),0),ROUND(IF(D38="简单平均",AVERAGE(R38:V38),R38*F38+T38*H38+V38*J38),1))</f>
        <v>#DIV/0!</v>
      </c>
      <c r="S39" s="3481"/>
      <c r="T39" s="3481"/>
      <c r="U39" s="3481"/>
      <c r="V39" s="3481"/>
      <c r="W39" s="3481"/>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4" t="s">
        <v>1850</v>
      </c>
      <c r="B47" s="858"/>
      <c r="C47" s="883"/>
      <c r="D47" s="883"/>
      <c r="E47" s="883"/>
      <c r="F47" s="1085"/>
      <c r="G47" s="1085"/>
      <c r="H47" s="883"/>
      <c r="I47" s="883"/>
      <c r="J47" s="883"/>
      <c r="K47" s="884"/>
      <c r="L47" s="885"/>
      <c r="M47" s="883"/>
      <c r="N47" s="2534"/>
      <c r="O47" s="2534"/>
      <c r="P47" s="2523"/>
      <c r="Q47" s="2505"/>
      <c r="R47" s="2484"/>
      <c r="S47" s="2484"/>
      <c r="T47" s="2484"/>
      <c r="U47" s="2484"/>
      <c r="V47" s="2484"/>
      <c r="W47" s="2484"/>
      <c r="X47" s="2484"/>
      <c r="Y47" s="2484"/>
      <c r="Z47" s="2484"/>
      <c r="AA47" s="2484"/>
      <c r="AB47" s="2484"/>
      <c r="AC47" s="2484"/>
    </row>
    <row r="48" spans="1:29" s="440" customFormat="1" ht="14.4">
      <c r="A48" s="438" t="s">
        <v>1851</v>
      </c>
      <c r="B48" s="439"/>
      <c r="C48" s="1100" t="str">
        <f>YEAR(C7)&amp;"-"&amp;MONTH(C7)</f>
        <v>2025-4</v>
      </c>
      <c r="D48" s="1101">
        <f>EDATE(C48,-1)</f>
        <v>45717</v>
      </c>
      <c r="E48" s="1101">
        <f t="shared" ref="E48:O48" si="13">EDATE(D48,-1)</f>
        <v>45689</v>
      </c>
      <c r="F48" s="1101">
        <f t="shared" si="13"/>
        <v>45658</v>
      </c>
      <c r="G48" s="1101">
        <f t="shared" si="13"/>
        <v>45627</v>
      </c>
      <c r="H48" s="1101">
        <f t="shared" si="13"/>
        <v>45597</v>
      </c>
      <c r="I48" s="1101">
        <f t="shared" si="13"/>
        <v>45566</v>
      </c>
      <c r="J48" s="1101">
        <f t="shared" si="13"/>
        <v>45536</v>
      </c>
      <c r="K48" s="1101">
        <f t="shared" si="13"/>
        <v>45505</v>
      </c>
      <c r="L48" s="1101">
        <f t="shared" si="13"/>
        <v>45474</v>
      </c>
      <c r="M48" s="1101">
        <f t="shared" si="13"/>
        <v>45444</v>
      </c>
      <c r="N48" s="1101">
        <f t="shared" si="13"/>
        <v>45413</v>
      </c>
      <c r="O48" s="1101">
        <f t="shared" si="13"/>
        <v>45383</v>
      </c>
      <c r="P48" s="2524"/>
      <c r="Q48" s="2507"/>
      <c r="R48" s="2507"/>
      <c r="S48" s="2507"/>
      <c r="T48" s="2507"/>
      <c r="U48" s="2507"/>
      <c r="V48" s="2507"/>
      <c r="W48" s="2507"/>
      <c r="X48" s="2507"/>
      <c r="Y48" s="2507"/>
      <c r="Z48" s="2507"/>
      <c r="AA48" s="2507"/>
      <c r="AB48" s="2507"/>
      <c r="AC48" s="2507"/>
    </row>
    <row r="49" spans="1:29" s="101" customFormat="1">
      <c r="A49" s="441"/>
      <c r="B49" s="442"/>
      <c r="C49" s="1094">
        <v>100</v>
      </c>
      <c r="D49" s="444"/>
      <c r="E49" s="444"/>
      <c r="F49" s="444"/>
      <c r="G49" s="444"/>
      <c r="H49" s="444"/>
      <c r="I49" s="444"/>
      <c r="J49" s="444"/>
      <c r="K49" s="444"/>
      <c r="L49" s="444"/>
      <c r="M49" s="445"/>
      <c r="N49" s="444"/>
      <c r="O49" s="445"/>
      <c r="P49" s="2525"/>
      <c r="Q49" s="2437"/>
      <c r="R49" s="2437"/>
      <c r="S49" s="2437"/>
      <c r="T49" s="2437"/>
      <c r="U49" s="2437"/>
      <c r="V49" s="2437"/>
      <c r="W49" s="2437"/>
      <c r="X49" s="2437"/>
      <c r="Y49" s="2437"/>
      <c r="Z49" s="2437"/>
      <c r="AA49" s="2437"/>
      <c r="AB49" s="2437"/>
      <c r="AC49" s="2437"/>
    </row>
    <row r="50" spans="1:29" s="101" customFormat="1" ht="15" thickBot="1">
      <c r="A50" s="447" t="s">
        <v>1716</v>
      </c>
      <c r="B50" s="448"/>
      <c r="C50" s="449"/>
      <c r="D50" s="450"/>
      <c r="E50" s="450"/>
      <c r="F50" s="450"/>
      <c r="G50" s="450"/>
      <c r="H50" s="450"/>
      <c r="I50" s="450"/>
      <c r="J50" s="450"/>
      <c r="K50" s="450"/>
      <c r="L50" s="450"/>
      <c r="M50" s="451"/>
      <c r="N50" s="450"/>
      <c r="O50" s="451"/>
      <c r="P50" s="2525"/>
      <c r="Q50" s="2505"/>
      <c r="R50" s="2437"/>
      <c r="S50" s="2437"/>
      <c r="T50" s="2437"/>
      <c r="U50" s="2437"/>
      <c r="V50" s="2437"/>
      <c r="W50" s="2437"/>
      <c r="X50" s="2437"/>
      <c r="Y50" s="2437"/>
      <c r="Z50" s="2437"/>
      <c r="AA50" s="2437"/>
      <c r="AB50" s="2437"/>
      <c r="AC50" s="2437"/>
    </row>
    <row r="51" spans="1:29" s="101" customFormat="1" ht="14.4">
      <c r="A51" s="453" t="s">
        <v>1681</v>
      </c>
      <c r="B51" s="442"/>
      <c r="C51" s="454" t="s">
        <v>1776</v>
      </c>
      <c r="D51" s="31"/>
      <c r="E51" s="31"/>
      <c r="F51" s="31"/>
      <c r="G51" s="31"/>
      <c r="H51" s="31"/>
      <c r="I51" s="31"/>
      <c r="J51" s="31"/>
      <c r="K51" s="31"/>
      <c r="L51" s="455"/>
      <c r="M51" s="456"/>
      <c r="N51" s="2517"/>
      <c r="O51" s="2517"/>
      <c r="P51" s="2526"/>
      <c r="Q51" s="2505"/>
      <c r="R51" s="2437"/>
      <c r="S51" s="2437"/>
      <c r="T51" s="2437"/>
      <c r="U51" s="2437"/>
      <c r="V51" s="2437"/>
      <c r="W51" s="2437"/>
      <c r="X51" s="2437"/>
      <c r="Y51" s="2437"/>
      <c r="Z51" s="2437"/>
      <c r="AA51" s="2437"/>
      <c r="AB51" s="2437"/>
      <c r="AC51" s="2437"/>
    </row>
    <row r="52" spans="1:29" s="101" customFormat="1" ht="14.4" thickBot="1">
      <c r="A52" s="453"/>
      <c r="B52" s="442"/>
      <c r="C52" s="561">
        <v>100</v>
      </c>
      <c r="D52" s="444"/>
      <c r="E52" s="444"/>
      <c r="F52" s="444"/>
      <c r="G52" s="444"/>
      <c r="H52" s="444"/>
      <c r="I52" s="444"/>
      <c r="J52" s="444"/>
      <c r="K52" s="444"/>
      <c r="L52" s="444"/>
      <c r="M52" s="446"/>
      <c r="N52" s="2517"/>
      <c r="O52" s="2517"/>
      <c r="P52" s="2525"/>
      <c r="Q52" s="2505"/>
      <c r="R52" s="2437"/>
      <c r="S52" s="2437"/>
      <c r="T52" s="2437"/>
      <c r="U52" s="2437"/>
      <c r="V52" s="2437"/>
      <c r="W52" s="2437"/>
      <c r="X52" s="2437"/>
      <c r="Y52" s="2437"/>
      <c r="Z52" s="2437"/>
      <c r="AA52" s="2437"/>
      <c r="AB52" s="2437"/>
      <c r="AC52" s="2437"/>
    </row>
    <row r="53" spans="1:29" ht="14.4">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4.4"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9.4"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4.4"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4.4"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4.4"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4.4"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4.4"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4.4"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4.4"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 thickTop="1">
      <c r="A67" s="365"/>
      <c r="B67" s="475" t="s">
        <v>1813</v>
      </c>
      <c r="C67" s="579" t="s">
        <v>1799</v>
      </c>
      <c r="D67" s="579" t="s">
        <v>1800</v>
      </c>
      <c r="E67" s="579" t="s">
        <v>1801</v>
      </c>
      <c r="F67" s="579" t="s">
        <v>1802</v>
      </c>
      <c r="G67" s="579" t="s">
        <v>1803</v>
      </c>
      <c r="H67" s="468"/>
      <c r="I67" s="468"/>
      <c r="J67" s="468"/>
      <c r="K67" s="468"/>
      <c r="L67" s="468"/>
      <c r="M67" s="1060"/>
      <c r="N67" s="2519"/>
      <c r="O67" s="2519"/>
      <c r="P67" s="2527"/>
      <c r="Q67" s="2505"/>
      <c r="R67" s="2484"/>
      <c r="S67" s="2484"/>
      <c r="T67" s="2484"/>
      <c r="U67" s="2484"/>
      <c r="V67" s="2484"/>
      <c r="W67" s="2484"/>
      <c r="X67" s="2484"/>
      <c r="Y67" s="2484"/>
      <c r="Z67" s="2484"/>
      <c r="AA67" s="2484"/>
      <c r="AB67" s="2484"/>
      <c r="AC67" s="2484"/>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1" customFormat="1" ht="14.4" thickTop="1">
      <c r="A73" s="368"/>
      <c r="B73" s="467">
        <f>B23</f>
        <v>111</v>
      </c>
      <c r="C73" s="478"/>
      <c r="D73" s="478"/>
      <c r="E73" s="478"/>
      <c r="F73" s="478"/>
      <c r="G73" s="483"/>
      <c r="H73" s="483"/>
      <c r="I73" s="483"/>
      <c r="J73" s="483"/>
      <c r="K73" s="483"/>
      <c r="L73" s="508"/>
      <c r="M73" s="509"/>
      <c r="N73" s="2517"/>
      <c r="O73" s="2517"/>
      <c r="P73" s="2527"/>
      <c r="Q73" s="2505"/>
      <c r="R73" s="2437"/>
      <c r="S73" s="2437"/>
      <c r="T73" s="2437"/>
      <c r="U73" s="2437"/>
      <c r="V73" s="2437"/>
      <c r="W73" s="2437"/>
      <c r="X73" s="2437"/>
      <c r="Y73" s="2437"/>
      <c r="Z73" s="2437"/>
      <c r="AA73" s="2437"/>
      <c r="AB73" s="2437"/>
      <c r="AC73" s="2437"/>
    </row>
    <row r="74" spans="1:29" s="101" customFormat="1" ht="14.4" thickBot="1">
      <c r="A74" s="368"/>
      <c r="B74" s="472"/>
      <c r="C74" s="489"/>
      <c r="D74" s="465"/>
      <c r="E74" s="465"/>
      <c r="F74" s="465"/>
      <c r="G74" s="465"/>
      <c r="H74" s="465"/>
      <c r="I74" s="465"/>
      <c r="J74" s="465"/>
      <c r="K74" s="465"/>
      <c r="L74" s="465"/>
      <c r="M74" s="466"/>
      <c r="N74" s="2519"/>
      <c r="O74" s="2519"/>
      <c r="P74" s="2527"/>
      <c r="Q74" s="2505"/>
      <c r="R74" s="2437"/>
      <c r="S74" s="2437"/>
      <c r="T74" s="2437"/>
      <c r="U74" s="2437"/>
      <c r="V74" s="2437"/>
      <c r="W74" s="2437"/>
      <c r="X74" s="2437"/>
      <c r="Y74" s="2437"/>
      <c r="Z74" s="2437"/>
      <c r="AA74" s="2437"/>
      <c r="AB74" s="2437"/>
      <c r="AC74" s="2437"/>
    </row>
    <row r="75" spans="1:29" s="101" customFormat="1" ht="14.4" thickTop="1">
      <c r="A75" s="368"/>
      <c r="B75" s="467">
        <f>B24</f>
        <v>111</v>
      </c>
      <c r="C75" s="478"/>
      <c r="D75" s="478"/>
      <c r="E75" s="478"/>
      <c r="F75" s="478"/>
      <c r="G75" s="483"/>
      <c r="H75" s="483"/>
      <c r="I75" s="483"/>
      <c r="J75" s="483"/>
      <c r="K75" s="483"/>
      <c r="L75" s="483"/>
      <c r="M75" s="509"/>
      <c r="N75" s="2517"/>
      <c r="O75" s="2517"/>
      <c r="P75" s="2527"/>
      <c r="Q75" s="2505"/>
      <c r="R75" s="2437"/>
      <c r="S75" s="2437"/>
      <c r="T75" s="2437"/>
      <c r="U75" s="2437"/>
      <c r="V75" s="2437"/>
      <c r="W75" s="2437"/>
      <c r="X75" s="2437"/>
      <c r="Y75" s="2437"/>
      <c r="Z75" s="2437"/>
      <c r="AA75" s="2437"/>
      <c r="AB75" s="2437"/>
      <c r="AC75" s="2437"/>
    </row>
    <row r="76" spans="1:29" s="101" customFormat="1" ht="14.4" thickBot="1">
      <c r="A76" s="368"/>
      <c r="B76" s="472"/>
      <c r="C76" s="489"/>
      <c r="D76" s="465"/>
      <c r="E76" s="465"/>
      <c r="F76" s="465"/>
      <c r="G76" s="465"/>
      <c r="H76" s="465"/>
      <c r="I76" s="465"/>
      <c r="J76" s="465"/>
      <c r="K76" s="465"/>
      <c r="L76" s="465"/>
      <c r="M76" s="466"/>
      <c r="N76" s="2519"/>
      <c r="O76" s="2519"/>
      <c r="P76" s="2527"/>
      <c r="Q76" s="2505"/>
      <c r="R76" s="2437"/>
      <c r="S76" s="2437"/>
      <c r="T76" s="2437"/>
      <c r="U76" s="2437"/>
      <c r="V76" s="2437"/>
      <c r="W76" s="2437"/>
      <c r="X76" s="2437"/>
      <c r="Y76" s="2437"/>
      <c r="Z76" s="2437"/>
      <c r="AA76" s="2437"/>
      <c r="AB76" s="2437"/>
      <c r="AC76" s="2437"/>
    </row>
    <row r="77" spans="1:29" s="406" customFormat="1" ht="14.4"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4.4"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9.4"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4.4"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9"/>
      <c r="O80" s="2519"/>
      <c r="P80" s="2527"/>
      <c r="Q80" s="2505"/>
      <c r="R80" s="2484"/>
      <c r="S80" s="2484"/>
      <c r="T80" s="2484"/>
      <c r="U80" s="2484"/>
      <c r="V80" s="2484"/>
      <c r="W80" s="2484"/>
      <c r="X80" s="2484"/>
      <c r="Y80" s="2484"/>
      <c r="Z80" s="2484"/>
      <c r="AA80" s="2484"/>
      <c r="AB80" s="2484"/>
      <c r="AC80" s="2484"/>
    </row>
    <row r="81" spans="1:29" ht="1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4.4"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4.4"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4.4"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4.4"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4.4"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4.4"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4.4"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4.4"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4.4"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4.4"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4.4"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4.4"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I42">
    <cfRule type="expression" dxfId="36" priority="7" stopIfTrue="1">
      <formula>$J$52+$J$42="超过30%"</formula>
    </cfRule>
  </conditionalFormatting>
  <conditionalFormatting sqref="I43">
    <cfRule type="expression" dxfId="35" priority="6" stopIfTrue="1">
      <formula>$J$53+$J$43="超过20%"</formula>
    </cfRule>
  </conditionalFormatting>
  <conditionalFormatting sqref="I44">
    <cfRule type="expression" dxfId="34" priority="5" stopIfTrue="1">
      <formula>$J$44="超过30%"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3330</v>
      </c>
      <c r="C1" s="1138" t="s">
        <v>1662</v>
      </c>
      <c r="D1" s="1139"/>
      <c r="E1" s="3128"/>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500"/>
      <c r="M3" s="2501"/>
      <c r="N3" s="2501"/>
      <c r="O3" s="2501"/>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45762</v>
      </c>
      <c r="D7" s="353">
        <v>100</v>
      </c>
      <c r="E7" s="354"/>
      <c r="F7" s="355">
        <f>SUMIF(46:46,YEAR(E7)&amp;"-"&amp;MONTH(E7),47:47)</f>
        <v>0</v>
      </c>
      <c r="G7" s="1819"/>
      <c r="H7" s="353">
        <f>SUMIF(46:46,YEAR(G7)&amp;"-"&amp;MONTH(G7),47:47)</f>
        <v>0</v>
      </c>
      <c r="I7" s="354"/>
      <c r="J7" s="353">
        <f>SUMIF(46:46,YEAR(I7)&amp;"-"&amp;MONTH(I7),47:47)</f>
        <v>0</v>
      </c>
      <c r="K7" s="38"/>
      <c r="L7" s="2485"/>
      <c r="M7" s="2437"/>
      <c r="N7" s="2437"/>
      <c r="O7" s="2437"/>
      <c r="P7" s="3423" t="s">
        <v>1680</v>
      </c>
      <c r="Q7" s="3451"/>
      <c r="R7" s="662" t="s">
        <v>14</v>
      </c>
      <c r="S7" s="663">
        <f t="shared" ref="S7:S14" si="0">F7</f>
        <v>0</v>
      </c>
      <c r="T7" s="662" t="s">
        <v>14</v>
      </c>
      <c r="U7" s="663">
        <f t="shared" ref="U7:U14" si="1">H7</f>
        <v>0</v>
      </c>
      <c r="V7" s="662" t="s">
        <v>14</v>
      </c>
      <c r="W7" s="663">
        <f t="shared" ref="W7:W14" si="2">J7</f>
        <v>0</v>
      </c>
      <c r="X7" s="664"/>
      <c r="Y7" s="3423" t="s">
        <v>1680</v>
      </c>
      <c r="Z7" s="3424"/>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7"/>
      <c r="N8" s="2437"/>
      <c r="O8" s="2437"/>
      <c r="P8" s="3423" t="s">
        <v>1683</v>
      </c>
      <c r="Q8" s="3424"/>
      <c r="R8" s="662" t="s">
        <v>14</v>
      </c>
      <c r="S8" s="663">
        <f t="shared" si="0"/>
        <v>100</v>
      </c>
      <c r="T8" s="662" t="s">
        <v>14</v>
      </c>
      <c r="U8" s="663">
        <f t="shared" si="1"/>
        <v>100</v>
      </c>
      <c r="V8" s="662" t="s">
        <v>14</v>
      </c>
      <c r="W8" s="663">
        <f t="shared" si="2"/>
        <v>100</v>
      </c>
      <c r="X8" s="664"/>
      <c r="Y8" s="3423" t="s">
        <v>1683</v>
      </c>
      <c r="Z8" s="3424"/>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7"/>
      <c r="N9" s="2437"/>
      <c r="O9" s="2537"/>
      <c r="P9" s="3455" t="s">
        <v>1686</v>
      </c>
      <c r="Q9" s="528" t="str">
        <f t="shared" ref="Q9:Q14" si="6">B9</f>
        <v>用途</v>
      </c>
      <c r="R9" s="662" t="s">
        <v>14</v>
      </c>
      <c r="S9" s="663">
        <f t="shared" si="0"/>
        <v>100</v>
      </c>
      <c r="T9" s="662" t="s">
        <v>14</v>
      </c>
      <c r="U9" s="663">
        <f t="shared" si="1"/>
        <v>100</v>
      </c>
      <c r="V9" s="662" t="s">
        <v>14</v>
      </c>
      <c r="W9" s="663">
        <f t="shared" si="2"/>
        <v>100</v>
      </c>
      <c r="X9" s="664"/>
      <c r="Y9" s="3348" t="s">
        <v>1687</v>
      </c>
      <c r="Z9" s="50" t="str">
        <f t="shared" ref="Z9:Z14" si="7">Q9</f>
        <v>用途</v>
      </c>
      <c r="AA9" s="50">
        <f t="shared" si="3"/>
        <v>1</v>
      </c>
      <c r="AB9" s="50">
        <f t="shared" si="4"/>
        <v>1</v>
      </c>
      <c r="AC9" s="50">
        <f t="shared" si="5"/>
        <v>1</v>
      </c>
    </row>
    <row r="10" spans="1:29" s="364" customFormat="1" ht="28.8">
      <c r="A10" s="361"/>
      <c r="B10" s="362" t="s">
        <v>1688</v>
      </c>
      <c r="C10" s="3129"/>
      <c r="D10" s="117">
        <v>100</v>
      </c>
      <c r="E10" s="3129"/>
      <c r="F10" s="362">
        <f>SUMIF(53:53,E10,54:54)-SUMIF(53:53,C10,54:54)+100</f>
        <v>100</v>
      </c>
      <c r="G10" s="3129"/>
      <c r="H10" s="117">
        <f>SUMIF(53:53,G10,54:54)-SUMIF(53:53,C10,54:54)+100</f>
        <v>100</v>
      </c>
      <c r="I10" s="3129"/>
      <c r="J10" s="117">
        <f>SUMIF(53:53,I10,54:54)-SUMIF(53:53,C10,54:54)+100</f>
        <v>100</v>
      </c>
      <c r="K10" s="38"/>
      <c r="L10" s="2486"/>
      <c r="M10" s="2487"/>
      <c r="N10" s="2487"/>
      <c r="O10" s="2538"/>
      <c r="P10" s="3455"/>
      <c r="Q10" s="528" t="str">
        <f t="shared" si="6"/>
        <v>土地使用年限（年）</v>
      </c>
      <c r="R10" s="662" t="s">
        <v>14</v>
      </c>
      <c r="S10" s="663">
        <f t="shared" si="0"/>
        <v>100</v>
      </c>
      <c r="T10" s="662" t="s">
        <v>14</v>
      </c>
      <c r="U10" s="663">
        <f t="shared" si="1"/>
        <v>100</v>
      </c>
      <c r="V10" s="662" t="s">
        <v>14</v>
      </c>
      <c r="W10" s="663">
        <f t="shared" si="2"/>
        <v>100</v>
      </c>
      <c r="X10" s="664"/>
      <c r="Y10" s="334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8"/>
      <c r="M11" s="2484"/>
      <c r="N11" s="2484"/>
      <c r="O11" s="2539"/>
      <c r="P11" s="3455"/>
      <c r="Q11" s="528">
        <f t="shared" si="6"/>
        <v>111</v>
      </c>
      <c r="R11" s="662" t="s">
        <v>14</v>
      </c>
      <c r="S11" s="663">
        <f t="shared" si="0"/>
        <v>100</v>
      </c>
      <c r="T11" s="662" t="s">
        <v>14</v>
      </c>
      <c r="U11" s="663">
        <f t="shared" si="1"/>
        <v>100</v>
      </c>
      <c r="V11" s="662" t="s">
        <v>14</v>
      </c>
      <c r="W11" s="663">
        <f t="shared" si="2"/>
        <v>100</v>
      </c>
      <c r="X11" s="664"/>
      <c r="Y11" s="334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5"/>
      <c r="M12" s="2437"/>
      <c r="N12" s="2437"/>
      <c r="O12" s="2537"/>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9"/>
      <c r="M13" s="2484"/>
      <c r="N13" s="2484"/>
      <c r="O13" s="2539"/>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96.6">
      <c r="A14" s="377" t="s">
        <v>1690</v>
      </c>
      <c r="B14" s="58" t="s">
        <v>1833</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9"/>
      <c r="M15" s="2484"/>
      <c r="N15" s="2484"/>
      <c r="O15" s="2539"/>
      <c r="P15" s="3457"/>
      <c r="Q15" s="1260"/>
      <c r="R15" s="665"/>
      <c r="S15" s="666"/>
      <c r="T15" s="665"/>
      <c r="U15" s="666"/>
      <c r="V15" s="665"/>
      <c r="W15" s="666"/>
      <c r="X15" s="1262"/>
      <c r="Y15" s="3457"/>
      <c r="Z15" s="1261"/>
      <c r="AA15" s="1261">
        <v>1</v>
      </c>
      <c r="AB15" s="1261">
        <v>1</v>
      </c>
      <c r="AC15" s="1261">
        <v>1</v>
      </c>
    </row>
    <row r="16" spans="1:29" ht="55.2">
      <c r="A16" s="365"/>
      <c r="B16" s="388" t="s">
        <v>1812</v>
      </c>
      <c r="C16" s="1751" t="str">
        <f>IF(B1="工业",估价对象房地状况!G5,估价对象房地状况!C7)</f>
        <v>估价对象所在区域公共配套设施齐备情况较好</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457"/>
      <c r="Q16" s="1260" t="str">
        <f>B16</f>
        <v>公共配套设施</v>
      </c>
      <c r="R16" s="665" t="s">
        <v>14</v>
      </c>
      <c r="S16" s="666">
        <f>F16</f>
        <v>100</v>
      </c>
      <c r="T16" s="665" t="s">
        <v>14</v>
      </c>
      <c r="U16" s="666">
        <f>H16</f>
        <v>100</v>
      </c>
      <c r="V16" s="665" t="s">
        <v>14</v>
      </c>
      <c r="W16" s="666">
        <f>J16</f>
        <v>100</v>
      </c>
      <c r="X16" s="1262"/>
      <c r="Y16" s="3457"/>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9"/>
      <c r="M17" s="2484"/>
      <c r="N17" s="2484"/>
      <c r="O17" s="2539"/>
      <c r="P17" s="3457"/>
      <c r="Q17" s="1260"/>
      <c r="R17" s="665"/>
      <c r="S17" s="666"/>
      <c r="T17" s="665"/>
      <c r="U17" s="666"/>
      <c r="V17" s="665"/>
      <c r="W17" s="666"/>
      <c r="X17" s="1262"/>
      <c r="Y17" s="3457"/>
      <c r="Z17" s="1261"/>
      <c r="AA17" s="1261">
        <v>1</v>
      </c>
      <c r="AB17" s="1261">
        <v>1</v>
      </c>
      <c r="AC17" s="1261">
        <v>1</v>
      </c>
    </row>
    <row r="18" spans="1:29" ht="41.4">
      <c r="A18" s="365"/>
      <c r="B18" s="584" t="s">
        <v>1813</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D18/F18</f>
        <v>1</v>
      </c>
      <c r="AB18" s="1261">
        <f>D18/H18</f>
        <v>1</v>
      </c>
      <c r="AC18" s="1261">
        <f>D18/J18</f>
        <v>1</v>
      </c>
    </row>
    <row r="19" spans="1:29" ht="15">
      <c r="A19" s="365"/>
      <c r="B19" s="584"/>
      <c r="C19" s="1752"/>
      <c r="D19" s="387"/>
      <c r="E19" s="1752"/>
      <c r="F19" s="390"/>
      <c r="G19" s="1752"/>
      <c r="H19" s="385"/>
      <c r="I19" s="384"/>
      <c r="J19" s="385"/>
      <c r="K19" s="1061"/>
      <c r="L19" s="2489"/>
      <c r="M19" s="2484"/>
      <c r="N19" s="2484"/>
      <c r="O19" s="2539"/>
      <c r="P19" s="3457"/>
      <c r="Q19" s="1260"/>
      <c r="R19" s="665"/>
      <c r="S19" s="666"/>
      <c r="T19" s="665"/>
      <c r="U19" s="666"/>
      <c r="V19" s="665"/>
      <c r="W19" s="666"/>
      <c r="X19" s="1262"/>
      <c r="Y19" s="3457"/>
      <c r="Z19" s="1261"/>
      <c r="AA19" s="1261">
        <v>1</v>
      </c>
      <c r="AB19" s="1261">
        <v>1</v>
      </c>
      <c r="AC19" s="1261">
        <v>1</v>
      </c>
    </row>
    <row r="20" spans="1:29" ht="55.2">
      <c r="A20" s="365"/>
      <c r="B20" s="388" t="s">
        <v>1834</v>
      </c>
      <c r="C20" s="1751" t="str">
        <f>IF(B1="工业",估价对象房地状况!G7,估价对象房地状况!C9)</f>
        <v>区域自然环境：；人文环境；综合评价环境状况较好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457"/>
      <c r="Q20" s="1260" t="str">
        <f>B20</f>
        <v>自然及人文环境</v>
      </c>
      <c r="R20" s="665" t="s">
        <v>14</v>
      </c>
      <c r="S20" s="666">
        <f>F20</f>
        <v>100</v>
      </c>
      <c r="T20" s="665" t="s">
        <v>14</v>
      </c>
      <c r="U20" s="666">
        <f>H20</f>
        <v>100</v>
      </c>
      <c r="V20" s="665" t="s">
        <v>14</v>
      </c>
      <c r="W20" s="666">
        <f>J20</f>
        <v>100</v>
      </c>
      <c r="X20" s="1262"/>
      <c r="Y20" s="3457"/>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9"/>
      <c r="M21" s="2484"/>
      <c r="N21" s="2484"/>
      <c r="O21" s="2539"/>
      <c r="P21" s="3457"/>
      <c r="Q21" s="1260"/>
      <c r="R21" s="665"/>
      <c r="S21" s="666"/>
      <c r="T21" s="665"/>
      <c r="U21" s="666"/>
      <c r="V21" s="665"/>
      <c r="W21" s="666"/>
      <c r="X21" s="1262"/>
      <c r="Y21" s="3457"/>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457"/>
      <c r="Q24" s="1260">
        <f t="shared" ref="Q24:Q34" si="8">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1" customFormat="1" ht="15.6"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5"/>
      <c r="M25" s="2437"/>
      <c r="N25" s="2437"/>
      <c r="O25" s="2537"/>
      <c r="P25" s="3457"/>
      <c r="Q25" s="528">
        <f t="shared" si="8"/>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30">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9"/>
      <c r="M26" s="2484"/>
      <c r="N26" s="2484"/>
      <c r="O26" s="2539"/>
      <c r="P26" s="3480"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461" t="s">
        <v>1696</v>
      </c>
      <c r="Z26" s="1261" t="str">
        <f t="shared" ref="Z26:Z34" si="12">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461"/>
      <c r="Q27" s="529" t="str">
        <f t="shared" si="8"/>
        <v>成新率</v>
      </c>
      <c r="R27" s="667" t="s">
        <v>14</v>
      </c>
      <c r="S27" s="668" t="e">
        <f t="shared" si="9"/>
        <v>#N/A</v>
      </c>
      <c r="T27" s="667" t="s">
        <v>14</v>
      </c>
      <c r="U27" s="668" t="e">
        <f t="shared" si="10"/>
        <v>#N/A</v>
      </c>
      <c r="V27" s="667" t="s">
        <v>14</v>
      </c>
      <c r="W27" s="668" t="e">
        <f t="shared" si="11"/>
        <v>#N/A</v>
      </c>
      <c r="X27" s="669"/>
      <c r="Y27" s="3461"/>
      <c r="Z27" s="670" t="str">
        <f t="shared" si="12"/>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461"/>
      <c r="Q28" s="1260" t="str">
        <f t="shared" si="8"/>
        <v>物业等级</v>
      </c>
      <c r="R28" s="665" t="s">
        <v>14</v>
      </c>
      <c r="S28" s="666">
        <f t="shared" si="9"/>
        <v>100</v>
      </c>
      <c r="T28" s="665" t="s">
        <v>14</v>
      </c>
      <c r="U28" s="666">
        <f t="shared" si="10"/>
        <v>100</v>
      </c>
      <c r="V28" s="665" t="s">
        <v>14</v>
      </c>
      <c r="W28" s="666">
        <f t="shared" si="11"/>
        <v>100</v>
      </c>
      <c r="X28" s="1262"/>
      <c r="Y28" s="3461"/>
      <c r="Z28" s="1261" t="str">
        <f t="shared" si="12"/>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461"/>
      <c r="Q29" s="1260" t="str">
        <f t="shared" si="8"/>
        <v>有无电梯</v>
      </c>
      <c r="R29" s="665" t="s">
        <v>14</v>
      </c>
      <c r="S29" s="666">
        <f t="shared" si="9"/>
        <v>100</v>
      </c>
      <c r="T29" s="665" t="s">
        <v>14</v>
      </c>
      <c r="U29" s="666">
        <f t="shared" si="10"/>
        <v>100</v>
      </c>
      <c r="V29" s="665" t="s">
        <v>14</v>
      </c>
      <c r="W29" s="666">
        <f t="shared" si="11"/>
        <v>100</v>
      </c>
      <c r="X29" s="1262"/>
      <c r="Y29" s="3461"/>
      <c r="Z29" s="1261" t="str">
        <f t="shared" si="12"/>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461"/>
      <c r="Q30" s="1260" t="str">
        <f t="shared" si="8"/>
        <v>建筑面积</v>
      </c>
      <c r="R30" s="665" t="s">
        <v>14</v>
      </c>
      <c r="S30" s="666" t="e">
        <f t="shared" si="9"/>
        <v>#N/A</v>
      </c>
      <c r="T30" s="665" t="s">
        <v>14</v>
      </c>
      <c r="U30" s="666" t="e">
        <f t="shared" si="10"/>
        <v>#N/A</v>
      </c>
      <c r="V30" s="665" t="s">
        <v>14</v>
      </c>
      <c r="W30" s="666" t="e">
        <f t="shared" si="11"/>
        <v>#N/A</v>
      </c>
      <c r="X30" s="1262"/>
      <c r="Y30" s="3461"/>
      <c r="Z30" s="1261" t="str">
        <f t="shared" si="12"/>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5"/>
      <c r="M31" s="2437"/>
      <c r="N31" s="2437"/>
      <c r="O31" s="2537"/>
      <c r="P31" s="3461"/>
      <c r="Q31" s="528" t="str">
        <f t="shared" si="8"/>
        <v>是否封闭</v>
      </c>
      <c r="R31" s="662" t="s">
        <v>14</v>
      </c>
      <c r="S31" s="663">
        <f t="shared" si="9"/>
        <v>100</v>
      </c>
      <c r="T31" s="662" t="s">
        <v>14</v>
      </c>
      <c r="U31" s="663">
        <f t="shared" si="10"/>
        <v>100</v>
      </c>
      <c r="V31" s="662" t="s">
        <v>14</v>
      </c>
      <c r="W31" s="663">
        <f t="shared" si="11"/>
        <v>100</v>
      </c>
      <c r="X31" s="664"/>
      <c r="Y31" s="3461"/>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461" t="s">
        <v>1696</v>
      </c>
      <c r="Q32" s="1260">
        <f t="shared" si="8"/>
        <v>111</v>
      </c>
      <c r="R32" s="665" t="s">
        <v>14</v>
      </c>
      <c r="S32" s="666">
        <f t="shared" si="9"/>
        <v>100</v>
      </c>
      <c r="T32" s="665" t="s">
        <v>14</v>
      </c>
      <c r="U32" s="666">
        <f t="shared" si="10"/>
        <v>100</v>
      </c>
      <c r="V32" s="665" t="s">
        <v>14</v>
      </c>
      <c r="W32" s="666">
        <f t="shared" si="11"/>
        <v>100</v>
      </c>
      <c r="X32" s="1262"/>
      <c r="Y32" s="3461"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461"/>
      <c r="Q33" s="1260">
        <f t="shared" si="8"/>
        <v>111</v>
      </c>
      <c r="R33" s="665" t="s">
        <v>14</v>
      </c>
      <c r="S33" s="666">
        <f t="shared" si="9"/>
        <v>100</v>
      </c>
      <c r="T33" s="665" t="s">
        <v>14</v>
      </c>
      <c r="U33" s="666">
        <f t="shared" si="10"/>
        <v>100</v>
      </c>
      <c r="V33" s="665" t="s">
        <v>14</v>
      </c>
      <c r="W33" s="666">
        <f t="shared" si="11"/>
        <v>100</v>
      </c>
      <c r="X33" s="1262"/>
      <c r="Y33" s="3461"/>
      <c r="Z33" s="1261">
        <f t="shared" si="12"/>
        <v>111</v>
      </c>
      <c r="AA33" s="1261">
        <f t="shared" si="3"/>
        <v>1</v>
      </c>
      <c r="AB33" s="1261">
        <f t="shared" si="4"/>
        <v>1</v>
      </c>
      <c r="AC33" s="1261">
        <f t="shared" si="5"/>
        <v>1</v>
      </c>
    </row>
    <row r="34" spans="1:30" ht="15.6"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9"/>
      <c r="M34" s="2484"/>
      <c r="N34" s="2484"/>
      <c r="O34" s="2539"/>
      <c r="P34" s="3461"/>
      <c r="Q34" s="1260">
        <f t="shared" si="8"/>
        <v>111</v>
      </c>
      <c r="R34" s="665" t="s">
        <v>14</v>
      </c>
      <c r="S34" s="666">
        <f t="shared" si="9"/>
        <v>100</v>
      </c>
      <c r="T34" s="665" t="s">
        <v>14</v>
      </c>
      <c r="U34" s="666">
        <f t="shared" si="10"/>
        <v>100</v>
      </c>
      <c r="V34" s="665" t="s">
        <v>14</v>
      </c>
      <c r="W34" s="666">
        <f t="shared" si="11"/>
        <v>100</v>
      </c>
      <c r="X34" s="1262"/>
      <c r="Y34" s="3461"/>
      <c r="Z34" s="1261">
        <f t="shared" si="12"/>
        <v>111</v>
      </c>
      <c r="AA34" s="1261">
        <f t="shared" si="3"/>
        <v>1</v>
      </c>
      <c r="AB34" s="1261">
        <f t="shared" si="4"/>
        <v>1</v>
      </c>
      <c r="AC34" s="1261">
        <f t="shared" si="5"/>
        <v>1</v>
      </c>
    </row>
    <row r="35" spans="1:30" ht="14.4">
      <c r="A35" s="414" t="s">
        <v>1708</v>
      </c>
      <c r="B35" s="415"/>
      <c r="C35" s="1078" t="s">
        <v>0</v>
      </c>
      <c r="D35" s="416"/>
      <c r="E35" s="417"/>
      <c r="F35" s="418"/>
      <c r="G35" s="419"/>
      <c r="H35" s="420"/>
      <c r="I35" s="417"/>
      <c r="J35" s="420"/>
      <c r="K35" s="672"/>
      <c r="L35" s="2491"/>
      <c r="M35" s="2484"/>
      <c r="N35" s="2484"/>
      <c r="O35" s="2484"/>
      <c r="P35" s="3455" t="str">
        <f>A35</f>
        <v>成交单价（元/平方米）</v>
      </c>
      <c r="Q35" s="3455"/>
      <c r="R35" s="3450">
        <f>E35</f>
        <v>0</v>
      </c>
      <c r="S35" s="3450"/>
      <c r="T35" s="3450">
        <f>G35</f>
        <v>0</v>
      </c>
      <c r="U35" s="3450"/>
      <c r="V35" s="3450">
        <f>I35</f>
        <v>0</v>
      </c>
      <c r="W35" s="3450"/>
      <c r="X35" s="383"/>
      <c r="Y35" s="671"/>
      <c r="Z35" s="383"/>
      <c r="AA35" s="383"/>
      <c r="AB35" s="383"/>
      <c r="AC35" s="383"/>
    </row>
    <row r="36" spans="1:30" ht="15" thickBot="1">
      <c r="A36" s="421" t="s">
        <v>1793</v>
      </c>
      <c r="B36" s="422"/>
      <c r="C36" s="1079" t="e">
        <f>R37</f>
        <v>#DIV/0!</v>
      </c>
      <c r="D36" s="2138" t="s">
        <v>2138</v>
      </c>
      <c r="E36" s="1080" t="e">
        <f>R36</f>
        <v>#DIV/0!</v>
      </c>
      <c r="F36" s="2139"/>
      <c r="G36" s="1079" t="e">
        <f>T36</f>
        <v>#DIV/0!</v>
      </c>
      <c r="H36" s="2139"/>
      <c r="I36" s="1080" t="e">
        <f>V36</f>
        <v>#DIV/0!</v>
      </c>
      <c r="J36" s="2139"/>
      <c r="K36" s="2141">
        <f>F36+H36+J36</f>
        <v>0</v>
      </c>
      <c r="L36" s="2491"/>
      <c r="M36" s="2484"/>
      <c r="N36" s="2484"/>
      <c r="O36" s="2484"/>
      <c r="P36" s="3455" t="str">
        <f>A36</f>
        <v>比较价值（元/平方米）</v>
      </c>
      <c r="Q36" s="3455"/>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1"/>
      <c r="M37" s="2484"/>
      <c r="N37" s="2484"/>
      <c r="O37" s="2484"/>
      <c r="P37" s="3452" t="str">
        <f>A37</f>
        <v>估价对象XX用房的比较价值（楼面单价，元/平方米）</v>
      </c>
      <c r="Q37" s="3453"/>
      <c r="R37" s="3481" t="e">
        <f>IF(F1="售价",ROUND(IF(D36="简单平均",AVERAGE(R36:W36),R36*F36+T36*H36+V36*J36),0),ROUND(IF(D36="简单平均",AVERAGE(R36:V36),R36*F36+T36*H36+V36*J36),1))</f>
        <v>#DIV/0!</v>
      </c>
      <c r="S37" s="3481"/>
      <c r="T37" s="3481"/>
      <c r="U37" s="3481"/>
      <c r="V37" s="3481"/>
      <c r="W37" s="3481"/>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6" t="s">
        <v>1798</v>
      </c>
      <c r="B45" s="383"/>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4.4">
      <c r="A46" s="438" t="s">
        <v>1679</v>
      </c>
      <c r="B46" s="439"/>
      <c r="C46" s="1100" t="str">
        <f>YEAR(C7)&amp;"-"&amp;MONTH(C7)</f>
        <v>2025-4</v>
      </c>
      <c r="D46" s="1101">
        <f>EDATE(C46,-1)</f>
        <v>45717</v>
      </c>
      <c r="E46" s="1101">
        <f t="shared" ref="E46:O46" si="13">EDATE(D46,-1)</f>
        <v>45689</v>
      </c>
      <c r="F46" s="1101">
        <f t="shared" si="13"/>
        <v>45658</v>
      </c>
      <c r="G46" s="1101">
        <f t="shared" si="13"/>
        <v>45627</v>
      </c>
      <c r="H46" s="1101">
        <f t="shared" si="13"/>
        <v>45597</v>
      </c>
      <c r="I46" s="1101">
        <f t="shared" si="13"/>
        <v>45566</v>
      </c>
      <c r="J46" s="1101">
        <f t="shared" si="13"/>
        <v>45536</v>
      </c>
      <c r="K46" s="1101">
        <f t="shared" si="13"/>
        <v>45505</v>
      </c>
      <c r="L46" s="1101">
        <f t="shared" si="13"/>
        <v>45474</v>
      </c>
      <c r="M46" s="1101">
        <f t="shared" si="13"/>
        <v>45444</v>
      </c>
      <c r="N46" s="1101">
        <f t="shared" si="13"/>
        <v>45413</v>
      </c>
      <c r="O46" s="1101">
        <f t="shared" si="13"/>
        <v>45383</v>
      </c>
      <c r="P46" s="2507"/>
      <c r="Q46" s="2507"/>
      <c r="R46" s="2507"/>
      <c r="S46" s="2507"/>
      <c r="T46" s="2507"/>
      <c r="U46" s="2507"/>
      <c r="V46" s="2507"/>
      <c r="W46" s="2507"/>
      <c r="X46" s="2507"/>
      <c r="Y46" s="2507"/>
      <c r="Z46" s="2507"/>
      <c r="AA46" s="2507"/>
      <c r="AB46" s="2507"/>
      <c r="AC46" s="2507"/>
      <c r="AD46" s="2507"/>
    </row>
    <row r="47" spans="1:30" s="101" customFormat="1">
      <c r="A47" s="441"/>
      <c r="B47" s="442"/>
      <c r="C47" s="1099">
        <v>100</v>
      </c>
      <c r="D47" s="444"/>
      <c r="E47" s="444"/>
      <c r="F47" s="444"/>
      <c r="G47" s="444"/>
      <c r="H47" s="444"/>
      <c r="I47" s="444"/>
      <c r="J47" s="444"/>
      <c r="K47" s="444"/>
      <c r="L47" s="444"/>
      <c r="M47" s="445"/>
      <c r="N47" s="444"/>
      <c r="O47" s="446"/>
      <c r="P47" s="2505"/>
      <c r="Q47" s="2437"/>
      <c r="R47" s="2437"/>
      <c r="S47" s="2437"/>
      <c r="T47" s="2437"/>
      <c r="U47" s="2437"/>
      <c r="V47" s="2437"/>
      <c r="W47" s="2437"/>
      <c r="X47" s="2437"/>
      <c r="Y47" s="2437"/>
      <c r="Z47" s="2437"/>
      <c r="AA47" s="2437"/>
      <c r="AB47" s="2437"/>
      <c r="AC47" s="2437"/>
      <c r="AD47" s="2437"/>
    </row>
    <row r="48" spans="1:30" s="101" customFormat="1" ht="15" thickBot="1">
      <c r="A48" s="447" t="s">
        <v>1716</v>
      </c>
      <c r="B48" s="448"/>
      <c r="C48" s="449"/>
      <c r="D48" s="450"/>
      <c r="E48" s="450"/>
      <c r="F48" s="450"/>
      <c r="G48" s="450"/>
      <c r="H48" s="450"/>
      <c r="I48" s="450"/>
      <c r="J48" s="450"/>
      <c r="K48" s="450"/>
      <c r="L48" s="450"/>
      <c r="M48" s="451"/>
      <c r="N48" s="450"/>
      <c r="O48" s="452"/>
      <c r="P48" s="2505"/>
      <c r="Q48" s="2505"/>
      <c r="R48" s="2437"/>
      <c r="S48" s="2437"/>
      <c r="T48" s="2437"/>
      <c r="U48" s="2437"/>
      <c r="V48" s="2437"/>
      <c r="W48" s="2437"/>
      <c r="X48" s="2437"/>
      <c r="Y48" s="2437"/>
      <c r="Z48" s="2437"/>
      <c r="AA48" s="2437"/>
      <c r="AB48" s="2437"/>
      <c r="AC48" s="2437"/>
      <c r="AD48" s="2437"/>
    </row>
    <row r="49" spans="1:30" s="101" customFormat="1" ht="14.4">
      <c r="A49" s="453" t="s">
        <v>1681</v>
      </c>
      <c r="B49" s="442"/>
      <c r="C49" s="454" t="s">
        <v>1776</v>
      </c>
      <c r="D49" s="31"/>
      <c r="E49" s="31"/>
      <c r="F49" s="31"/>
      <c r="G49" s="31"/>
      <c r="H49" s="31"/>
      <c r="I49" s="31"/>
      <c r="J49" s="31"/>
      <c r="K49" s="31"/>
      <c r="L49" s="455"/>
      <c r="M49" s="456"/>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3"/>
      <c r="B50" s="442"/>
      <c r="C50" s="561">
        <v>100</v>
      </c>
      <c r="D50" s="444"/>
      <c r="E50" s="444"/>
      <c r="F50" s="444"/>
      <c r="G50" s="444"/>
      <c r="H50" s="444"/>
      <c r="I50" s="444"/>
      <c r="J50" s="444"/>
      <c r="K50" s="444"/>
      <c r="L50" s="444"/>
      <c r="M50" s="446"/>
      <c r="N50" s="2517"/>
      <c r="O50" s="2517"/>
      <c r="P50" s="2505"/>
      <c r="Q50" s="2505"/>
      <c r="R50" s="2437"/>
      <c r="S50" s="2437"/>
      <c r="T50" s="2437"/>
      <c r="U50" s="2437"/>
      <c r="V50" s="2437"/>
      <c r="W50" s="2437"/>
      <c r="X50" s="2437"/>
      <c r="Y50" s="2437"/>
      <c r="Z50" s="2437"/>
      <c r="AA50" s="2437"/>
      <c r="AB50" s="2437"/>
      <c r="AC50" s="2437"/>
      <c r="AD50" s="2437"/>
    </row>
    <row r="51" spans="1:30" ht="14.4">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4.4"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9.4"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4.4"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4.4"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4.4"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4.4"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4.4"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4.4"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4.4"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9.4"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 thickTop="1">
      <c r="A65" s="365"/>
      <c r="B65" s="475" t="s">
        <v>1813</v>
      </c>
      <c r="C65" s="579" t="s">
        <v>1799</v>
      </c>
      <c r="D65" s="579" t="s">
        <v>1800</v>
      </c>
      <c r="E65" s="579" t="s">
        <v>1801</v>
      </c>
      <c r="F65" s="579" t="s">
        <v>1802</v>
      </c>
      <c r="G65" s="579" t="s">
        <v>1803</v>
      </c>
      <c r="H65" s="468"/>
      <c r="I65" s="468"/>
      <c r="J65" s="468"/>
      <c r="K65" s="468"/>
      <c r="L65" s="468"/>
      <c r="M65" s="1060"/>
      <c r="N65" s="2519"/>
      <c r="O65" s="2519"/>
      <c r="P65" s="2517"/>
      <c r="Q65" s="2505"/>
      <c r="R65" s="2484"/>
      <c r="S65" s="2484"/>
      <c r="T65" s="2484"/>
      <c r="U65" s="2484"/>
      <c r="V65" s="2484"/>
      <c r="W65" s="2484"/>
      <c r="X65" s="2484"/>
      <c r="Y65" s="2484"/>
      <c r="Z65" s="2484"/>
      <c r="AA65" s="2484"/>
      <c r="AB65" s="2484"/>
      <c r="AC65" s="2484"/>
      <c r="AD65" s="2484"/>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4.4"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8"/>
      <c r="B71" s="467">
        <f>B23</f>
        <v>111</v>
      </c>
      <c r="C71" s="478"/>
      <c r="D71" s="478"/>
      <c r="E71" s="478"/>
      <c r="F71" s="478"/>
      <c r="G71" s="483"/>
      <c r="H71" s="483"/>
      <c r="I71" s="483"/>
      <c r="J71" s="483"/>
      <c r="K71" s="483"/>
      <c r="L71" s="508"/>
      <c r="M71" s="509"/>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8"/>
      <c r="B72" s="472"/>
      <c r="C72" s="489"/>
      <c r="D72" s="465"/>
      <c r="E72" s="465"/>
      <c r="F72" s="465"/>
      <c r="G72" s="465"/>
      <c r="H72" s="465"/>
      <c r="I72" s="465"/>
      <c r="J72" s="465"/>
      <c r="K72" s="465"/>
      <c r="L72" s="465"/>
      <c r="M72" s="466"/>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8"/>
      <c r="B73" s="467">
        <f>B24</f>
        <v>111</v>
      </c>
      <c r="C73" s="478"/>
      <c r="D73" s="478"/>
      <c r="E73" s="478"/>
      <c r="F73" s="478"/>
      <c r="G73" s="483"/>
      <c r="H73" s="483"/>
      <c r="I73" s="483"/>
      <c r="J73" s="483"/>
      <c r="K73" s="483"/>
      <c r="L73" s="483"/>
      <c r="M73" s="509"/>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8"/>
      <c r="B74" s="472"/>
      <c r="C74" s="489"/>
      <c r="D74" s="465"/>
      <c r="E74" s="465"/>
      <c r="F74" s="465"/>
      <c r="G74" s="465"/>
      <c r="H74" s="465"/>
      <c r="I74" s="465"/>
      <c r="J74" s="465"/>
      <c r="K74" s="465"/>
      <c r="L74" s="465"/>
      <c r="M74" s="466"/>
      <c r="N74" s="2519"/>
      <c r="O74" s="2519"/>
      <c r="P74" s="2517"/>
      <c r="Q74" s="2505"/>
      <c r="R74" s="2437"/>
      <c r="S74" s="2437"/>
      <c r="T74" s="2437"/>
      <c r="U74" s="2437"/>
      <c r="V74" s="2437"/>
      <c r="W74" s="2437"/>
      <c r="X74" s="2437"/>
      <c r="Y74" s="2437"/>
      <c r="Z74" s="2437"/>
      <c r="AA74" s="2437"/>
      <c r="AB74" s="2437"/>
      <c r="AC74" s="2437"/>
      <c r="AD74" s="2437"/>
    </row>
    <row r="75" spans="1:30" s="406" customFormat="1" ht="14.4"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4.4"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4.4"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4.4"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4.4"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4.4"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4.4"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4.4"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4.4"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4.4"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4.4"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4.4"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4.4"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4.4"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79"/>
      <c r="B98" s="879"/>
      <c r="C98" s="879"/>
      <c r="D98" s="879"/>
      <c r="E98" s="879"/>
      <c r="F98" s="879"/>
      <c r="G98" s="879"/>
      <c r="H98" s="879"/>
      <c r="I98" s="879"/>
      <c r="J98" s="879"/>
      <c r="K98" s="880"/>
      <c r="L98" s="881"/>
      <c r="M98" s="879"/>
      <c r="N98" s="2484"/>
      <c r="O98" s="2484"/>
      <c r="P98" s="2484"/>
      <c r="Q98" s="2484"/>
      <c r="R98" s="2484"/>
      <c r="S98" s="2484"/>
      <c r="T98" s="2484"/>
      <c r="U98" s="2484"/>
      <c r="V98" s="2484"/>
      <c r="W98" s="2484"/>
      <c r="X98" s="2484"/>
      <c r="Y98" s="2484"/>
      <c r="Z98" s="2484"/>
      <c r="AA98" s="2484"/>
      <c r="AB98" s="2484"/>
      <c r="AC98" s="2484"/>
      <c r="AD98" s="2484"/>
    </row>
    <row r="99" spans="1:30">
      <c r="A99" s="879"/>
      <c r="B99" s="879"/>
      <c r="C99" s="879"/>
      <c r="D99" s="879"/>
      <c r="E99" s="879"/>
      <c r="F99" s="879"/>
      <c r="G99" s="879"/>
      <c r="H99" s="879"/>
      <c r="I99" s="879"/>
      <c r="J99" s="879"/>
      <c r="K99" s="880"/>
      <c r="L99" s="881"/>
      <c r="M99" s="879"/>
      <c r="N99" s="2484"/>
      <c r="O99" s="2484"/>
      <c r="P99" s="2484"/>
      <c r="Q99" s="2484"/>
      <c r="R99" s="2484"/>
      <c r="S99" s="2484"/>
      <c r="T99" s="2484"/>
      <c r="U99" s="2484"/>
      <c r="V99" s="2484"/>
      <c r="W99" s="2484"/>
      <c r="X99" s="2484"/>
      <c r="Y99" s="2484"/>
      <c r="Z99" s="2484"/>
      <c r="AA99" s="2484"/>
      <c r="AB99" s="2484"/>
      <c r="AC99" s="2484"/>
      <c r="AD99" s="2484"/>
    </row>
    <row r="100" spans="1:30">
      <c r="A100" s="879"/>
      <c r="B100" s="879"/>
      <c r="C100" s="879"/>
      <c r="D100" s="879"/>
      <c r="E100" s="879"/>
      <c r="F100" s="879"/>
      <c r="G100" s="879"/>
      <c r="H100" s="879"/>
      <c r="I100" s="879"/>
      <c r="J100" s="879"/>
      <c r="K100" s="880"/>
      <c r="L100" s="881"/>
      <c r="M100" s="879"/>
      <c r="N100" s="2484"/>
      <c r="O100" s="2484"/>
      <c r="P100" s="2484"/>
      <c r="Q100" s="2484"/>
      <c r="R100" s="2484"/>
      <c r="S100" s="2484"/>
      <c r="T100" s="2484"/>
      <c r="U100" s="2484"/>
      <c r="V100" s="2484"/>
      <c r="W100" s="2484"/>
      <c r="X100" s="2484"/>
      <c r="Y100" s="2484"/>
      <c r="Z100" s="2484"/>
      <c r="AA100" s="2484"/>
      <c r="AB100" s="2484"/>
      <c r="AC100" s="2484"/>
      <c r="AD100" s="2484"/>
    </row>
    <row r="101" spans="1:30">
      <c r="A101" s="879"/>
      <c r="B101" s="879"/>
      <c r="C101" s="879"/>
      <c r="D101" s="879"/>
      <c r="E101" s="879"/>
      <c r="F101" s="879"/>
      <c r="G101" s="879"/>
      <c r="H101" s="879"/>
      <c r="I101" s="879"/>
      <c r="J101" s="879"/>
      <c r="K101" s="880"/>
      <c r="L101" s="881"/>
      <c r="M101" s="879"/>
      <c r="N101" s="2484"/>
      <c r="O101" s="2484"/>
      <c r="P101" s="2484"/>
      <c r="Q101" s="2484"/>
      <c r="R101" s="2484"/>
      <c r="S101" s="2484"/>
      <c r="T101" s="2484"/>
      <c r="U101" s="2484"/>
      <c r="V101" s="2484"/>
      <c r="W101" s="2484"/>
      <c r="X101" s="2484"/>
      <c r="Y101" s="2484"/>
      <c r="Z101" s="2484"/>
      <c r="AA101" s="2484"/>
      <c r="AB101" s="2484"/>
      <c r="AC101" s="2484"/>
      <c r="AD101" s="2484"/>
    </row>
    <row r="102" spans="1:30">
      <c r="A102" s="879"/>
      <c r="B102" s="879"/>
      <c r="C102" s="879"/>
      <c r="D102" s="879"/>
      <c r="E102" s="879"/>
      <c r="F102" s="879"/>
      <c r="G102" s="879"/>
      <c r="H102" s="879"/>
      <c r="I102" s="879"/>
      <c r="J102" s="879"/>
      <c r="K102" s="880"/>
      <c r="L102" s="881"/>
      <c r="M102" s="879"/>
      <c r="N102" s="2484"/>
      <c r="O102" s="2484"/>
      <c r="P102" s="2484"/>
      <c r="Q102" s="2484"/>
      <c r="R102" s="2484"/>
      <c r="S102" s="2484"/>
      <c r="T102" s="2484"/>
      <c r="U102" s="2484"/>
      <c r="V102" s="2484"/>
      <c r="W102" s="2484"/>
      <c r="X102" s="2484"/>
      <c r="Y102" s="2484"/>
      <c r="Z102" s="2484"/>
      <c r="AA102" s="2484"/>
      <c r="AB102" s="2484"/>
      <c r="AC102" s="2484"/>
      <c r="AD102" s="2484"/>
    </row>
    <row r="103" spans="1:30">
      <c r="A103" s="879"/>
      <c r="B103" s="879"/>
      <c r="C103" s="879"/>
      <c r="D103" s="879"/>
      <c r="E103" s="879"/>
      <c r="F103" s="879"/>
      <c r="G103" s="879"/>
      <c r="H103" s="879"/>
      <c r="I103" s="879"/>
      <c r="J103" s="879"/>
      <c r="K103" s="880"/>
      <c r="L103" s="881"/>
      <c r="M103" s="879"/>
      <c r="N103" s="879"/>
      <c r="O103" s="879"/>
      <c r="P103" s="2484"/>
      <c r="Q103" s="2484"/>
      <c r="R103" s="2484"/>
      <c r="S103" s="2484"/>
      <c r="T103" s="2484"/>
      <c r="U103" s="2484"/>
      <c r="V103" s="2484"/>
      <c r="W103" s="2484"/>
      <c r="X103" s="2484"/>
      <c r="Y103" s="2484"/>
      <c r="Z103" s="2484"/>
      <c r="AA103" s="2484"/>
      <c r="AB103" s="2484"/>
      <c r="AC103" s="2484"/>
      <c r="AD103" s="2484"/>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33" t="s">
        <v>1677</v>
      </c>
      <c r="D6" s="3434"/>
      <c r="E6" s="3435" t="s">
        <v>1677</v>
      </c>
      <c r="F6" s="3436"/>
      <c r="G6" s="3433" t="s">
        <v>1677</v>
      </c>
      <c r="H6" s="3434"/>
      <c r="I6" s="3433" t="s">
        <v>1677</v>
      </c>
      <c r="J6" s="3434"/>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45762</v>
      </c>
      <c r="D7" s="353">
        <v>100</v>
      </c>
      <c r="E7" s="354"/>
      <c r="F7" s="355">
        <f>SUMIF(69:69,YEAR(E7)&amp;"-"&amp;INT((MONTH(E7)+2)/3),70:70)</f>
        <v>0</v>
      </c>
      <c r="G7" s="1819"/>
      <c r="H7" s="353">
        <f>SUMIF(69:69,YEAR(G7)&amp;"-"&amp;INT((MONTH(G7)+2)/3),70:70)</f>
        <v>0</v>
      </c>
      <c r="I7" s="1819"/>
      <c r="J7" s="353">
        <f>SUMIF(69:69,YEAR(I7)&amp;"-"&amp;INT((MONTH(I7)+2)/3),70:70)</f>
        <v>0</v>
      </c>
      <c r="K7" s="38"/>
      <c r="L7" s="2485"/>
      <c r="M7" s="2437"/>
      <c r="N7" s="2437"/>
      <c r="O7" s="2437"/>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5"/>
      <c r="M8" s="2437"/>
      <c r="N8" s="2437"/>
      <c r="O8" s="2437"/>
      <c r="P8" s="3423" t="s">
        <v>1683</v>
      </c>
      <c r="Q8" s="3424"/>
      <c r="R8" s="662" t="s">
        <v>14</v>
      </c>
      <c r="S8" s="663">
        <f t="shared" si="0"/>
        <v>0</v>
      </c>
      <c r="T8" s="662" t="s">
        <v>14</v>
      </c>
      <c r="U8" s="663">
        <f t="shared" si="1"/>
        <v>0</v>
      </c>
      <c r="V8" s="662" t="s">
        <v>14</v>
      </c>
      <c r="W8" s="663">
        <f t="shared" si="2"/>
        <v>0</v>
      </c>
      <c r="X8" s="664"/>
      <c r="Y8" s="3423" t="s">
        <v>1683</v>
      </c>
      <c r="Z8" s="3424"/>
      <c r="AA8" s="50" t="e">
        <f t="shared" ref="AA8:AA45" si="3">D8/F8</f>
        <v>#DIV/0!</v>
      </c>
      <c r="AB8" s="50" t="e">
        <f t="shared" ref="AB8:AB45" si="4">D8/H8</f>
        <v>#DIV/0!</v>
      </c>
      <c r="AC8" s="50" t="e">
        <f t="shared" ref="AC8:AC45" si="5">D8/J8</f>
        <v>#DIV/0!</v>
      </c>
    </row>
    <row r="9" spans="1:29" s="101" customFormat="1" ht="14.4">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7"/>
      <c r="N9" s="2437"/>
      <c r="O9" s="2537"/>
      <c r="P9" s="3455"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135</v>
      </c>
      <c r="G10" s="400"/>
      <c r="H10" s="117">
        <f>ROUND(100/'数据-取费表'!G16,0)</f>
        <v>135</v>
      </c>
      <c r="I10" s="400"/>
      <c r="J10" s="117">
        <f>ROUND(100/'数据-取费表'!G16,0)</f>
        <v>135</v>
      </c>
      <c r="K10" s="590"/>
      <c r="L10" s="2486"/>
      <c r="M10" s="2487"/>
      <c r="N10" s="2487"/>
      <c r="O10" s="2538"/>
      <c r="P10" s="3455"/>
      <c r="Q10" s="528" t="str">
        <f t="shared" si="6"/>
        <v>土地使用年限（年）</v>
      </c>
      <c r="R10" s="662" t="s">
        <v>14</v>
      </c>
      <c r="S10" s="663">
        <f t="shared" si="0"/>
        <v>135</v>
      </c>
      <c r="T10" s="662" t="s">
        <v>14</v>
      </c>
      <c r="U10" s="663">
        <f t="shared" si="1"/>
        <v>135</v>
      </c>
      <c r="V10" s="662" t="s">
        <v>14</v>
      </c>
      <c r="W10" s="663">
        <f t="shared" si="2"/>
        <v>135</v>
      </c>
      <c r="X10" s="664"/>
      <c r="Y10" s="3348"/>
      <c r="Z10" s="50" t="str">
        <f t="shared" si="7"/>
        <v>土地使用年限（年）</v>
      </c>
      <c r="AA10" s="50">
        <f t="shared" si="3"/>
        <v>0.7407407407407407</v>
      </c>
      <c r="AB10" s="50">
        <f t="shared" si="4"/>
        <v>0.7407407407407407</v>
      </c>
      <c r="AC10" s="50">
        <f t="shared" si="5"/>
        <v>0.7407407407407407</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8"/>
      <c r="M11" s="2484"/>
      <c r="N11" s="2484"/>
      <c r="O11" s="2539"/>
      <c r="P11" s="3455"/>
      <c r="Q11" s="528"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5"/>
      <c r="M12" s="2437"/>
      <c r="N12" s="2437"/>
      <c r="O12" s="2537"/>
      <c r="P12" s="3455"/>
      <c r="Q12" s="528" t="str">
        <f t="shared" si="6"/>
        <v>配建</v>
      </c>
      <c r="R12" s="662" t="s">
        <v>14</v>
      </c>
      <c r="S12" s="663">
        <f t="shared" si="0"/>
        <v>100</v>
      </c>
      <c r="T12" s="662" t="s">
        <v>14</v>
      </c>
      <c r="U12" s="663">
        <f t="shared" si="1"/>
        <v>100</v>
      </c>
      <c r="V12" s="662" t="s">
        <v>14</v>
      </c>
      <c r="W12" s="663">
        <f t="shared" si="2"/>
        <v>100</v>
      </c>
      <c r="X12" s="664"/>
      <c r="Y12" s="334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9"/>
      <c r="M13" s="2484"/>
      <c r="N13" s="2484"/>
      <c r="O13" s="2539"/>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D13/F13</f>
        <v>1</v>
      </c>
      <c r="AB13" s="50">
        <f>D13/H13</f>
        <v>1</v>
      </c>
      <c r="AC13" s="50">
        <f>D13/J13</f>
        <v>1</v>
      </c>
    </row>
    <row r="14" spans="1:29" ht="15.6"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455"/>
      <c r="Q14" s="528">
        <f t="shared" si="6"/>
        <v>111</v>
      </c>
      <c r="R14" s="662" t="s">
        <v>14</v>
      </c>
      <c r="S14" s="663">
        <f t="shared" si="0"/>
        <v>100</v>
      </c>
      <c r="T14" s="662" t="s">
        <v>14</v>
      </c>
      <c r="U14" s="663">
        <f t="shared" si="1"/>
        <v>100</v>
      </c>
      <c r="V14" s="662" t="s">
        <v>14</v>
      </c>
      <c r="W14" s="663">
        <f t="shared" si="2"/>
        <v>100</v>
      </c>
      <c r="X14" s="664"/>
      <c r="Y14" s="3348"/>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9"/>
      <c r="M15" s="2484"/>
      <c r="N15" s="2484"/>
      <c r="O15" s="2539"/>
      <c r="P15" s="3456" t="s">
        <v>1691</v>
      </c>
      <c r="Q15" s="1260" t="str">
        <f t="shared" si="6"/>
        <v>居住社区成熟度</v>
      </c>
      <c r="R15" s="665" t="s">
        <v>14</v>
      </c>
      <c r="S15" s="666">
        <f t="shared" si="0"/>
        <v>100</v>
      </c>
      <c r="T15" s="665" t="s">
        <v>14</v>
      </c>
      <c r="U15" s="666">
        <f t="shared" si="1"/>
        <v>100</v>
      </c>
      <c r="V15" s="665" t="s">
        <v>14</v>
      </c>
      <c r="W15" s="666">
        <f t="shared" si="2"/>
        <v>100</v>
      </c>
      <c r="X15" s="1262"/>
      <c r="Y15" s="3456"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9"/>
      <c r="M16" s="2484"/>
      <c r="N16" s="2484"/>
      <c r="O16" s="2539"/>
      <c r="P16" s="3457"/>
      <c r="Q16" s="1260"/>
      <c r="R16" s="665"/>
      <c r="S16" s="666"/>
      <c r="T16" s="665"/>
      <c r="U16" s="666"/>
      <c r="V16" s="665"/>
      <c r="W16" s="666"/>
      <c r="X16" s="1262"/>
      <c r="Y16" s="3457"/>
      <c r="Z16" s="1261"/>
      <c r="AA16" s="1261">
        <v>1</v>
      </c>
      <c r="AB16" s="1261">
        <v>1</v>
      </c>
      <c r="AC16" s="1261">
        <v>1</v>
      </c>
    </row>
    <row r="17" spans="1:29" ht="82.8">
      <c r="A17" s="365"/>
      <c r="B17" s="388" t="s">
        <v>1777</v>
      </c>
      <c r="C17" s="1803" t="str">
        <f>估价对象房地状况!C16</f>
        <v>估价对象位于朝阳门商圈，周边商业氛围成熟，人流量大，商业繁华度较好</v>
      </c>
      <c r="D17" s="387">
        <v>100</v>
      </c>
      <c r="E17" s="389"/>
      <c r="F17" s="387">
        <f>SUMIF(89:89,E18,90:90)-SUMIF(89:89,C18,90:90)+100</f>
        <v>100</v>
      </c>
      <c r="G17" s="389"/>
      <c r="H17" s="392">
        <f>SUMIF(89:89,G18,90:90)-SUMIF(89:89,C18,90:90)+100</f>
        <v>100</v>
      </c>
      <c r="I17" s="391"/>
      <c r="J17" s="392">
        <f>SUMIF(89:89,I18,90:90)-SUMIF(89:89,C18,90:90)+100</f>
        <v>100</v>
      </c>
      <c r="K17" s="591"/>
      <c r="L17" s="2489"/>
      <c r="M17" s="2484"/>
      <c r="N17" s="2484"/>
      <c r="O17" s="2539"/>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9"/>
      <c r="M18" s="2484"/>
      <c r="N18" s="2484"/>
      <c r="O18" s="2539"/>
      <c r="P18" s="3457"/>
      <c r="Q18" s="1260"/>
      <c r="R18" s="665"/>
      <c r="S18" s="666"/>
      <c r="T18" s="665"/>
      <c r="U18" s="666"/>
      <c r="V18" s="665"/>
      <c r="W18" s="666"/>
      <c r="X18" s="1262"/>
      <c r="Y18" s="3457"/>
      <c r="Z18" s="1261"/>
      <c r="AA18" s="1261">
        <v>1</v>
      </c>
      <c r="AB18" s="1261">
        <v>1</v>
      </c>
      <c r="AC18" s="1261">
        <v>1</v>
      </c>
    </row>
    <row r="19" spans="1:29" ht="15">
      <c r="A19" s="365"/>
      <c r="B19" s="388" t="s">
        <v>1811</v>
      </c>
      <c r="C19" s="1803">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9"/>
      <c r="M19" s="2484"/>
      <c r="N19" s="2484"/>
      <c r="O19" s="2539"/>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9"/>
      <c r="M20" s="2484"/>
      <c r="N20" s="2484"/>
      <c r="O20" s="2539"/>
      <c r="P20" s="3457"/>
      <c r="Q20" s="1260"/>
      <c r="R20" s="665"/>
      <c r="S20" s="666"/>
      <c r="T20" s="665"/>
      <c r="U20" s="666"/>
      <c r="V20" s="665"/>
      <c r="W20" s="666"/>
      <c r="X20" s="1262"/>
      <c r="Y20" s="3457"/>
      <c r="Z20" s="1261"/>
      <c r="AA20" s="1261">
        <v>1</v>
      </c>
      <c r="AB20" s="1261">
        <v>1</v>
      </c>
      <c r="AC20" s="1261">
        <v>1</v>
      </c>
    </row>
    <row r="21" spans="1:29" ht="96.6">
      <c r="A21" s="365"/>
      <c r="B21" s="388" t="s">
        <v>1833</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9"/>
      <c r="M21" s="2484"/>
      <c r="N21" s="2484"/>
      <c r="O21" s="2539"/>
      <c r="P21" s="3457"/>
      <c r="Q21" s="1260" t="str">
        <f>B21</f>
        <v>交通便捷度</v>
      </c>
      <c r="R21" s="665" t="s">
        <v>14</v>
      </c>
      <c r="S21" s="666">
        <f>F21</f>
        <v>100</v>
      </c>
      <c r="T21" s="665" t="s">
        <v>14</v>
      </c>
      <c r="U21" s="666">
        <f>H21</f>
        <v>100</v>
      </c>
      <c r="V21" s="665" t="s">
        <v>14</v>
      </c>
      <c r="W21" s="666">
        <f>J21</f>
        <v>100</v>
      </c>
      <c r="X21" s="1262"/>
      <c r="Y21" s="3457"/>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9"/>
      <c r="M22" s="2484"/>
      <c r="N22" s="2484"/>
      <c r="O22" s="2539"/>
      <c r="P22" s="3457"/>
      <c r="Q22" s="1260"/>
      <c r="R22" s="665"/>
      <c r="S22" s="666"/>
      <c r="T22" s="665"/>
      <c r="U22" s="666"/>
      <c r="V22" s="665"/>
      <c r="W22" s="666"/>
      <c r="X22" s="1262"/>
      <c r="Y22" s="3457"/>
      <c r="Z22" s="1261"/>
      <c r="AA22" s="1261">
        <v>1</v>
      </c>
      <c r="AB22" s="1261">
        <v>1</v>
      </c>
      <c r="AC22" s="1261">
        <v>1</v>
      </c>
    </row>
    <row r="23" spans="1:29" ht="28.8">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9"/>
      <c r="M23" s="2484"/>
      <c r="N23" s="2484"/>
      <c r="O23" s="2539"/>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9"/>
      <c r="M24" s="2484"/>
      <c r="N24" s="2484"/>
      <c r="O24" s="2539"/>
      <c r="P24" s="3457"/>
      <c r="Q24" s="1260"/>
      <c r="R24" s="665"/>
      <c r="S24" s="666"/>
      <c r="T24" s="665"/>
      <c r="U24" s="666"/>
      <c r="V24" s="665"/>
      <c r="W24" s="666"/>
      <c r="X24" s="1262"/>
      <c r="Y24" s="3457"/>
      <c r="Z24" s="1261"/>
      <c r="AA24" s="1261"/>
      <c r="AB24" s="1261"/>
      <c r="AC24" s="1261"/>
    </row>
    <row r="25" spans="1:29" ht="55.2">
      <c r="A25" s="346"/>
      <c r="B25" s="584" t="s">
        <v>1872</v>
      </c>
      <c r="C25" s="1803" t="str">
        <f>估价对象房地状况!C20</f>
        <v>区域自然环境：；人文环境；综合评价环境状况较好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9"/>
      <c r="M25" s="2484"/>
      <c r="N25" s="2484"/>
      <c r="O25" s="2539"/>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9"/>
      <c r="M26" s="2484"/>
      <c r="N26" s="2484"/>
      <c r="O26" s="2539"/>
      <c r="P26" s="3457"/>
      <c r="Q26" s="1260"/>
      <c r="R26" s="665"/>
      <c r="S26" s="666"/>
      <c r="T26" s="665"/>
      <c r="U26" s="666"/>
      <c r="V26" s="665"/>
      <c r="W26" s="666"/>
      <c r="X26" s="1262"/>
      <c r="Y26" s="3457"/>
      <c r="Z26" s="1261"/>
      <c r="AA26" s="1261">
        <v>1</v>
      </c>
      <c r="AB26" s="1261">
        <v>1</v>
      </c>
      <c r="AC26" s="1261">
        <v>1</v>
      </c>
    </row>
    <row r="27" spans="1:29" s="101" customFormat="1" ht="55.2">
      <c r="A27" s="441"/>
      <c r="B27" s="584" t="s">
        <v>1778</v>
      </c>
      <c r="C27" s="1751" t="str">
        <f>估价对象房地状况!C21</f>
        <v>估价对象所在区域公共配套设施齐备情况较好</v>
      </c>
      <c r="D27" s="387">
        <v>100</v>
      </c>
      <c r="E27" s="389"/>
      <c r="F27" s="387">
        <f>SUMIF(99:99,E28,100:100)-SUMIF(99:99,C28,100:100)+100</f>
        <v>100</v>
      </c>
      <c r="G27" s="389"/>
      <c r="H27" s="387">
        <f>SUMIF(99:99,G28,100:100)-SUMIF(99:99,C28,100:100)+100</f>
        <v>100</v>
      </c>
      <c r="I27" s="391"/>
      <c r="J27" s="387">
        <f>SUMIF(99:99,I28,100:100)-SUMIF(99:99,C28,100:100)+100</f>
        <v>100</v>
      </c>
      <c r="K27" s="591"/>
      <c r="L27" s="2485"/>
      <c r="M27" s="2437"/>
      <c r="N27" s="2437"/>
      <c r="O27" s="2537"/>
      <c r="P27" s="3457"/>
      <c r="Q27" s="528"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5"/>
      <c r="M28" s="2437"/>
      <c r="N28" s="2437"/>
      <c r="O28" s="2537"/>
      <c r="P28" s="3457"/>
      <c r="Q28" s="528"/>
      <c r="R28" s="662"/>
      <c r="S28" s="663"/>
      <c r="T28" s="662"/>
      <c r="U28" s="663"/>
      <c r="V28" s="662"/>
      <c r="W28" s="663"/>
      <c r="X28" s="664"/>
      <c r="Y28" s="3457"/>
      <c r="Z28" s="50"/>
      <c r="AA28" s="1261">
        <v>1</v>
      </c>
      <c r="AB28" s="1261">
        <v>1</v>
      </c>
      <c r="AC28" s="1261">
        <v>1</v>
      </c>
    </row>
    <row r="29" spans="1:29" s="101" customFormat="1" ht="41.4">
      <c r="A29" s="441"/>
      <c r="B29" s="584" t="s">
        <v>1779</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5"/>
      <c r="M29" s="2437"/>
      <c r="N29" s="2437"/>
      <c r="O29" s="2537"/>
      <c r="P29" s="3457"/>
      <c r="Q29" s="528" t="str">
        <f>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5"/>
      <c r="M30" s="2437"/>
      <c r="N30" s="2437"/>
      <c r="O30" s="2537"/>
      <c r="P30" s="3457"/>
      <c r="Q30" s="528"/>
      <c r="R30" s="662"/>
      <c r="S30" s="663"/>
      <c r="T30" s="662"/>
      <c r="U30" s="663"/>
      <c r="V30" s="662"/>
      <c r="W30" s="663"/>
      <c r="X30" s="664"/>
      <c r="Y30" s="3457"/>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457"/>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457"/>
      <c r="Z31" s="1261" t="str">
        <f t="shared" ref="Z31:Z45" si="12">Q31</f>
        <v>临街状况</v>
      </c>
      <c r="AA31" s="1261">
        <f t="shared" si="3"/>
        <v>1</v>
      </c>
      <c r="AB31" s="1261">
        <f t="shared" si="4"/>
        <v>1</v>
      </c>
      <c r="AC31" s="1261">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457"/>
      <c r="Q32" s="1260" t="str">
        <f t="shared" si="8"/>
        <v>毗邻道路的类型与等级</v>
      </c>
      <c r="R32" s="665" t="s">
        <v>14</v>
      </c>
      <c r="S32" s="666">
        <f t="shared" si="9"/>
        <v>100</v>
      </c>
      <c r="T32" s="665" t="s">
        <v>14</v>
      </c>
      <c r="U32" s="666">
        <f t="shared" si="10"/>
        <v>100</v>
      </c>
      <c r="V32" s="665" t="s">
        <v>14</v>
      </c>
      <c r="W32" s="666">
        <f t="shared" si="11"/>
        <v>100</v>
      </c>
      <c r="X32" s="1262"/>
      <c r="Y32" s="3457"/>
      <c r="Z32" s="1261" t="str">
        <f t="shared" si="12"/>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9"/>
      <c r="M33" s="2484"/>
      <c r="N33" s="2484"/>
      <c r="O33" s="2539"/>
      <c r="P33" s="3457"/>
      <c r="Q33" s="1260"/>
      <c r="R33" s="665"/>
      <c r="S33" s="666"/>
      <c r="T33" s="665"/>
      <c r="U33" s="666"/>
      <c r="V33" s="665"/>
      <c r="W33" s="666"/>
      <c r="X33" s="1262"/>
      <c r="Y33" s="3457"/>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457"/>
      <c r="Q34" s="1260" t="str">
        <f t="shared" si="8"/>
        <v>土地级别</v>
      </c>
      <c r="R34" s="665" t="s">
        <v>14</v>
      </c>
      <c r="S34" s="666">
        <f t="shared" si="9"/>
        <v>100</v>
      </c>
      <c r="T34" s="665" t="s">
        <v>14</v>
      </c>
      <c r="U34" s="666">
        <f t="shared" si="10"/>
        <v>100</v>
      </c>
      <c r="V34" s="665" t="s">
        <v>14</v>
      </c>
      <c r="W34" s="666">
        <f t="shared" si="11"/>
        <v>100</v>
      </c>
      <c r="X34" s="1262"/>
      <c r="Y34" s="3457"/>
      <c r="Z34" s="1261" t="str">
        <f t="shared" si="12"/>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457"/>
      <c r="Q35" s="1260">
        <f t="shared" si="8"/>
        <v>111</v>
      </c>
      <c r="R35" s="665" t="s">
        <v>14</v>
      </c>
      <c r="S35" s="666">
        <f t="shared" si="9"/>
        <v>100</v>
      </c>
      <c r="T35" s="665" t="s">
        <v>14</v>
      </c>
      <c r="U35" s="666">
        <f t="shared" si="10"/>
        <v>100</v>
      </c>
      <c r="V35" s="665" t="s">
        <v>14</v>
      </c>
      <c r="W35" s="666">
        <f t="shared" si="11"/>
        <v>100</v>
      </c>
      <c r="X35" s="1262"/>
      <c r="Y35" s="3457"/>
      <c r="Z35" s="1261">
        <f t="shared" si="12"/>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480" t="s">
        <v>1696</v>
      </c>
      <c r="Q36" s="1260">
        <f t="shared" si="8"/>
        <v>111</v>
      </c>
      <c r="R36" s="665" t="s">
        <v>14</v>
      </c>
      <c r="S36" s="666">
        <f t="shared" si="9"/>
        <v>100</v>
      </c>
      <c r="T36" s="665" t="s">
        <v>14</v>
      </c>
      <c r="U36" s="666">
        <f t="shared" si="10"/>
        <v>100</v>
      </c>
      <c r="V36" s="665" t="s">
        <v>14</v>
      </c>
      <c r="W36" s="666">
        <f t="shared" si="11"/>
        <v>100</v>
      </c>
      <c r="X36" s="1262"/>
      <c r="Y36" s="3461" t="s">
        <v>1696</v>
      </c>
      <c r="Z36" s="1261">
        <f t="shared" si="12"/>
        <v>111</v>
      </c>
      <c r="AA36" s="1261">
        <f t="shared" si="3"/>
        <v>1</v>
      </c>
      <c r="AB36" s="1261">
        <f t="shared" si="4"/>
        <v>1</v>
      </c>
      <c r="AC36" s="1261">
        <f t="shared" si="5"/>
        <v>1</v>
      </c>
    </row>
    <row r="37" spans="1:29" s="406" customFormat="1" ht="15.6"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461"/>
      <c r="Q37" s="1260">
        <f t="shared" si="8"/>
        <v>111</v>
      </c>
      <c r="R37" s="667" t="s">
        <v>14</v>
      </c>
      <c r="S37" s="668">
        <f t="shared" si="9"/>
        <v>100</v>
      </c>
      <c r="T37" s="667" t="s">
        <v>14</v>
      </c>
      <c r="U37" s="668">
        <f t="shared" si="10"/>
        <v>100</v>
      </c>
      <c r="V37" s="667" t="s">
        <v>14</v>
      </c>
      <c r="W37" s="668">
        <f t="shared" si="11"/>
        <v>100</v>
      </c>
      <c r="X37" s="669"/>
      <c r="Y37" s="3461"/>
      <c r="Z37" s="670">
        <f t="shared" si="12"/>
        <v>111</v>
      </c>
      <c r="AA37" s="1261">
        <f t="shared" si="3"/>
        <v>1</v>
      </c>
      <c r="AB37" s="1261">
        <f t="shared" si="4"/>
        <v>1</v>
      </c>
      <c r="AC37" s="1261">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9"/>
      <c r="M38" s="2484"/>
      <c r="N38" s="2484"/>
      <c r="O38" s="2539"/>
      <c r="P38" s="3461"/>
      <c r="Q38" s="1260" t="str">
        <f>B38</f>
        <v>宗地面积</v>
      </c>
      <c r="R38" s="665" t="s">
        <v>14</v>
      </c>
      <c r="S38" s="666" t="e">
        <f t="shared" si="9"/>
        <v>#N/A</v>
      </c>
      <c r="T38" s="665" t="s">
        <v>14</v>
      </c>
      <c r="U38" s="666" t="e">
        <f t="shared" si="10"/>
        <v>#N/A</v>
      </c>
      <c r="V38" s="665" t="s">
        <v>14</v>
      </c>
      <c r="W38" s="666" t="e">
        <f t="shared" si="11"/>
        <v>#N/A</v>
      </c>
      <c r="X38" s="1262"/>
      <c r="Y38" s="3461"/>
      <c r="Z38" s="1261" t="str">
        <f t="shared" si="12"/>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9"/>
      <c r="M39" s="2484"/>
      <c r="N39" s="2484"/>
      <c r="O39" s="2539"/>
      <c r="P39" s="3461"/>
      <c r="Q39" s="1260" t="str">
        <f t="shared" ref="Q39:Q45" si="13">B39</f>
        <v>宗地形状</v>
      </c>
      <c r="R39" s="665" t="s">
        <v>14</v>
      </c>
      <c r="S39" s="666">
        <f t="shared" si="9"/>
        <v>100</v>
      </c>
      <c r="T39" s="665" t="s">
        <v>14</v>
      </c>
      <c r="U39" s="666">
        <f t="shared" si="10"/>
        <v>100</v>
      </c>
      <c r="V39" s="665" t="s">
        <v>14</v>
      </c>
      <c r="W39" s="666">
        <f t="shared" si="11"/>
        <v>100</v>
      </c>
      <c r="X39" s="1262"/>
      <c r="Y39" s="3461"/>
      <c r="Z39" s="1261" t="str">
        <f t="shared" si="12"/>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9"/>
      <c r="M40" s="2484"/>
      <c r="N40" s="2484"/>
      <c r="O40" s="2539"/>
      <c r="P40" s="3461"/>
      <c r="Q40" s="1260" t="str">
        <f t="shared" si="13"/>
        <v>临街宽度及深度</v>
      </c>
      <c r="R40" s="665" t="s">
        <v>14</v>
      </c>
      <c r="S40" s="666">
        <f t="shared" si="9"/>
        <v>100</v>
      </c>
      <c r="T40" s="665" t="s">
        <v>14</v>
      </c>
      <c r="U40" s="666">
        <f t="shared" si="10"/>
        <v>100</v>
      </c>
      <c r="V40" s="665" t="s">
        <v>14</v>
      </c>
      <c r="W40" s="666">
        <f t="shared" si="11"/>
        <v>100</v>
      </c>
      <c r="X40" s="1262"/>
      <c r="Y40" s="3461"/>
      <c r="Z40" s="1261" t="str">
        <f t="shared" si="12"/>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5"/>
      <c r="M41" s="2437"/>
      <c r="N41" s="2437"/>
      <c r="O41" s="2537"/>
      <c r="P41" s="3461"/>
      <c r="Q41" s="1260" t="str">
        <f t="shared" si="13"/>
        <v>宗地开发程度</v>
      </c>
      <c r="R41" s="662" t="s">
        <v>14</v>
      </c>
      <c r="S41" s="663">
        <f t="shared" si="9"/>
        <v>100</v>
      </c>
      <c r="T41" s="662" t="s">
        <v>14</v>
      </c>
      <c r="U41" s="663">
        <f t="shared" si="10"/>
        <v>100</v>
      </c>
      <c r="V41" s="662" t="s">
        <v>14</v>
      </c>
      <c r="W41" s="663">
        <f t="shared" si="11"/>
        <v>100</v>
      </c>
      <c r="X41" s="664"/>
      <c r="Y41" s="3461"/>
      <c r="Z41" s="50" t="str">
        <f t="shared" si="12"/>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9"/>
      <c r="M42" s="2484"/>
      <c r="N42" s="2484"/>
      <c r="O42" s="2539"/>
      <c r="P42" s="3461" t="s">
        <v>1696</v>
      </c>
      <c r="Q42" s="1260" t="str">
        <f t="shared" si="13"/>
        <v>工程地质条件</v>
      </c>
      <c r="R42" s="665" t="s">
        <v>14</v>
      </c>
      <c r="S42" s="666">
        <f t="shared" si="9"/>
        <v>100</v>
      </c>
      <c r="T42" s="665" t="s">
        <v>14</v>
      </c>
      <c r="U42" s="666">
        <f t="shared" si="10"/>
        <v>100</v>
      </c>
      <c r="V42" s="665" t="s">
        <v>14</v>
      </c>
      <c r="W42" s="666">
        <f t="shared" si="11"/>
        <v>100</v>
      </c>
      <c r="X42" s="1262"/>
      <c r="Y42" s="3461" t="s">
        <v>1696</v>
      </c>
      <c r="Z42" s="1261" t="str">
        <f t="shared" si="12"/>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461"/>
      <c r="Q43" s="1260">
        <f t="shared" si="13"/>
        <v>111</v>
      </c>
      <c r="R43" s="665" t="s">
        <v>14</v>
      </c>
      <c r="S43" s="666">
        <f t="shared" si="9"/>
        <v>100</v>
      </c>
      <c r="T43" s="665" t="s">
        <v>14</v>
      </c>
      <c r="U43" s="666">
        <f t="shared" si="10"/>
        <v>100</v>
      </c>
      <c r="V43" s="665" t="s">
        <v>14</v>
      </c>
      <c r="W43" s="666">
        <f t="shared" si="11"/>
        <v>100</v>
      </c>
      <c r="X43" s="1262"/>
      <c r="Y43" s="3461"/>
      <c r="Z43" s="1261">
        <f t="shared" si="12"/>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461"/>
      <c r="Q44" s="1260">
        <f t="shared" si="13"/>
        <v>111</v>
      </c>
      <c r="R44" s="665" t="s">
        <v>14</v>
      </c>
      <c r="S44" s="666">
        <f t="shared" si="9"/>
        <v>100</v>
      </c>
      <c r="T44" s="665" t="s">
        <v>14</v>
      </c>
      <c r="U44" s="666">
        <f t="shared" si="10"/>
        <v>100</v>
      </c>
      <c r="V44" s="665" t="s">
        <v>14</v>
      </c>
      <c r="W44" s="666">
        <f t="shared" si="11"/>
        <v>100</v>
      </c>
      <c r="X44" s="1262"/>
      <c r="Y44" s="3461"/>
      <c r="Z44" s="1261">
        <f t="shared" si="12"/>
        <v>111</v>
      </c>
      <c r="AA44" s="1261">
        <f t="shared" si="3"/>
        <v>1</v>
      </c>
      <c r="AB44" s="1261">
        <f t="shared" si="4"/>
        <v>1</v>
      </c>
      <c r="AC44" s="1261">
        <f t="shared" si="5"/>
        <v>1</v>
      </c>
    </row>
    <row r="45" spans="1:29" s="406" customFormat="1" ht="15.6"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461"/>
      <c r="Q45" s="1260">
        <f t="shared" si="13"/>
        <v>111</v>
      </c>
      <c r="R45" s="667" t="s">
        <v>14</v>
      </c>
      <c r="S45" s="668">
        <f t="shared" si="9"/>
        <v>100</v>
      </c>
      <c r="T45" s="667" t="s">
        <v>14</v>
      </c>
      <c r="U45" s="668">
        <f t="shared" si="10"/>
        <v>100</v>
      </c>
      <c r="V45" s="667" t="s">
        <v>14</v>
      </c>
      <c r="W45" s="668">
        <f t="shared" si="11"/>
        <v>100</v>
      </c>
      <c r="X45" s="669"/>
      <c r="Y45" s="3461"/>
      <c r="Z45" s="670">
        <f t="shared" si="12"/>
        <v>111</v>
      </c>
      <c r="AA45" s="1261">
        <f t="shared" si="3"/>
        <v>1</v>
      </c>
      <c r="AB45" s="1261">
        <f t="shared" si="4"/>
        <v>1</v>
      </c>
      <c r="AC45" s="1261">
        <f t="shared" si="5"/>
        <v>1</v>
      </c>
    </row>
    <row r="46" spans="1:29" ht="14.4">
      <c r="A46" s="414" t="s">
        <v>1844</v>
      </c>
      <c r="B46" s="1827" t="s">
        <v>1879</v>
      </c>
      <c r="C46" s="600" t="s">
        <v>0</v>
      </c>
      <c r="D46" s="416"/>
      <c r="E46" s="417"/>
      <c r="F46" s="418"/>
      <c r="G46" s="419"/>
      <c r="H46" s="420"/>
      <c r="I46" s="417"/>
      <c r="J46" s="420"/>
      <c r="K46" s="672"/>
      <c r="L46" s="2491"/>
      <c r="M46" s="2484"/>
      <c r="N46" s="2484"/>
      <c r="O46" s="2484"/>
      <c r="P46" s="3455" t="str">
        <f>A46</f>
        <v>成交单价</v>
      </c>
      <c r="Q46" s="3455"/>
      <c r="R46" s="3450">
        <f>E46</f>
        <v>0</v>
      </c>
      <c r="S46" s="3450"/>
      <c r="T46" s="3450">
        <f>G46</f>
        <v>0</v>
      </c>
      <c r="U46" s="3450"/>
      <c r="V46" s="3450">
        <f>I46</f>
        <v>0</v>
      </c>
      <c r="W46" s="3450"/>
      <c r="X46" s="383"/>
      <c r="Y46" s="671"/>
      <c r="Z46" s="383"/>
      <c r="AA46" s="383"/>
      <c r="AB46" s="383"/>
      <c r="AC46" s="383"/>
    </row>
    <row r="47" spans="1:29" ht="15" thickBot="1">
      <c r="A47" s="421" t="s">
        <v>1793</v>
      </c>
      <c r="B47" s="601"/>
      <c r="C47" s="424" t="e">
        <f>R48</f>
        <v>#DIV/0!</v>
      </c>
      <c r="D47" s="2138" t="s">
        <v>2138</v>
      </c>
      <c r="E47" s="424" t="e">
        <f>R47</f>
        <v>#DIV/0!</v>
      </c>
      <c r="F47" s="2139"/>
      <c r="G47" s="423" t="e">
        <f>T47</f>
        <v>#DIV/0!</v>
      </c>
      <c r="H47" s="2139"/>
      <c r="I47" s="424" t="e">
        <f>V47</f>
        <v>#DIV/0!</v>
      </c>
      <c r="J47" s="2139"/>
      <c r="K47" s="2141">
        <f>F47+H47+J47</f>
        <v>0</v>
      </c>
      <c r="L47" s="2491"/>
      <c r="M47" s="2484"/>
      <c r="N47" s="2484"/>
      <c r="O47" s="2484"/>
      <c r="P47" s="3455" t="str">
        <f>A47</f>
        <v>比较价值（元/平方米）</v>
      </c>
      <c r="Q47" s="3455"/>
      <c r="R47" s="3482" t="e">
        <f>ROUND(PRODUCT(R46,AA7:AA45),0)</f>
        <v>#DIV/0!</v>
      </c>
      <c r="S47" s="3482"/>
      <c r="T47" s="3482" t="e">
        <f>ROUND(PRODUCT(T46,AB7:AB45),0)</f>
        <v>#DIV/0!</v>
      </c>
      <c r="U47" s="3482"/>
      <c r="V47" s="3482" t="e">
        <f>ROUND(PRODUCT(V46,AC7:AC45),0)</f>
        <v>#DIV/0!</v>
      </c>
      <c r="W47" s="3482"/>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1"/>
      <c r="M48" s="2484"/>
      <c r="N48" s="2484"/>
      <c r="O48" s="2484"/>
      <c r="P48" s="3452" t="str">
        <f>A48</f>
        <v>估价对象XX用房的比较价值（楼面单价，元/平方米）</v>
      </c>
      <c r="Q48" s="3453"/>
      <c r="R48" s="3483" t="e">
        <f>ROUND(IF(D47="简单平均",AVERAGE(R47:W47),R47*F47+T47*H47+V47*J47),0)</f>
        <v>#DIV/0!</v>
      </c>
      <c r="S48" s="3483"/>
      <c r="T48" s="3483"/>
      <c r="U48" s="3483"/>
      <c r="V48" s="3483"/>
      <c r="W48" s="3483"/>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4.4"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1881</v>
      </c>
      <c r="B55" s="603" t="s">
        <v>1882</v>
      </c>
      <c r="C55" s="1828" t="s">
        <v>1883</v>
      </c>
      <c r="D55" s="1829" t="s">
        <v>1884</v>
      </c>
      <c r="E55" s="604" t="s">
        <v>1885</v>
      </c>
      <c r="F55" s="834" t="s">
        <v>1886</v>
      </c>
      <c r="G55" s="3438" t="s">
        <v>1887</v>
      </c>
      <c r="H55" s="3484"/>
      <c r="I55" s="125"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1890</v>
      </c>
      <c r="B56" s="607" t="e">
        <f>C48</f>
        <v>#DIV/0!</v>
      </c>
      <c r="C56" s="608">
        <v>1</v>
      </c>
      <c r="D56" s="887">
        <v>1</v>
      </c>
      <c r="E56" s="608">
        <f>'数据-汇总表'!E8+'数据-汇总表'!E9</f>
        <v>1316.46</v>
      </c>
      <c r="F56" s="830" t="e">
        <f t="shared" ref="F56:F64" si="14">ROUND(B56*E56/10000,0)</f>
        <v>#DIV/0!</v>
      </c>
      <c r="G56" s="3437"/>
      <c r="H56" s="3455"/>
      <c r="I56" s="835">
        <v>1</v>
      </c>
      <c r="J56" s="838">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1891</v>
      </c>
      <c r="B57" s="208" t="e">
        <f>ROUND($C$48*C57*D57,0)</f>
        <v>#DIV/0!</v>
      </c>
      <c r="C57" s="161">
        <f t="shared" ref="C57:C64" si="15">IF($C$55="北京市系数",I57,J57)</f>
        <v>0.7</v>
      </c>
      <c r="D57" s="888">
        <v>0.25</v>
      </c>
      <c r="E57" s="612"/>
      <c r="F57" s="830" t="e">
        <f t="shared" si="14"/>
        <v>#DIV/0!</v>
      </c>
      <c r="G57" s="2747" t="s">
        <v>1892</v>
      </c>
      <c r="H57" s="831" t="str">
        <f>项目基本情况!B37</f>
        <v>一级</v>
      </c>
      <c r="I57" s="835">
        <f>SUMIF(修正!A57:A68,H57,修正!B57:B68)</f>
        <v>0.7</v>
      </c>
      <c r="J57" s="839"/>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1893</v>
      </c>
      <c r="B58" s="208" t="e">
        <f t="shared" ref="B58:B64" si="16">ROUND($C$48*C58*D58,0)</f>
        <v>#DIV/0!</v>
      </c>
      <c r="C58" s="161">
        <f t="shared" si="15"/>
        <v>0.4</v>
      </c>
      <c r="D58" s="888">
        <v>0.25</v>
      </c>
      <c r="E58" s="612"/>
      <c r="F58" s="830" t="e">
        <f t="shared" si="14"/>
        <v>#DIV/0!</v>
      </c>
      <c r="G58" s="2748"/>
      <c r="H58" s="831" t="str">
        <f>项目基本情况!B37</f>
        <v>一级</v>
      </c>
      <c r="I58" s="835">
        <f>SUMIF(修正!A57:A68,H58,修正!C57:C68)</f>
        <v>0.4</v>
      </c>
      <c r="J58" s="839"/>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1894</v>
      </c>
      <c r="B59" s="208" t="e">
        <f t="shared" si="16"/>
        <v>#DIV/0!</v>
      </c>
      <c r="C59" s="161">
        <f t="shared" si="15"/>
        <v>0.3</v>
      </c>
      <c r="D59" s="888">
        <v>0.25</v>
      </c>
      <c r="E59" s="612"/>
      <c r="F59" s="830" t="e">
        <f t="shared" si="14"/>
        <v>#DIV/0!</v>
      </c>
      <c r="G59" s="2748"/>
      <c r="H59" s="831" t="str">
        <f>项目基本情况!B37</f>
        <v>一级</v>
      </c>
      <c r="I59" s="835">
        <f>SUMIF(修正!A57:A68,H59,修正!D57:D68)</f>
        <v>0.3</v>
      </c>
      <c r="J59" s="839"/>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1895</v>
      </c>
      <c r="B60" s="208" t="e">
        <f t="shared" si="16"/>
        <v>#DIV/0!</v>
      </c>
      <c r="C60" s="161">
        <f t="shared" si="15"/>
        <v>0.3</v>
      </c>
      <c r="D60" s="888">
        <v>0.25</v>
      </c>
      <c r="E60" s="207">
        <f>'数据-汇总表'!E11</f>
        <v>0</v>
      </c>
      <c r="F60" s="830" t="e">
        <f t="shared" si="14"/>
        <v>#DIV/0!</v>
      </c>
      <c r="G60" s="1832" t="s">
        <v>1896</v>
      </c>
      <c r="H60" s="831" t="str">
        <f>项目基本情况!C37</f>
        <v>一级</v>
      </c>
      <c r="I60" s="835">
        <f>SUMIF(修正!A57:A68,H60,修正!E57:E68)</f>
        <v>0.3</v>
      </c>
      <c r="J60" s="839"/>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1897</v>
      </c>
      <c r="B61" s="208" t="e">
        <f t="shared" si="16"/>
        <v>#DIV/0!</v>
      </c>
      <c r="C61" s="161">
        <f t="shared" si="15"/>
        <v>0.3</v>
      </c>
      <c r="D61" s="888">
        <v>0.25</v>
      </c>
      <c r="E61" s="207">
        <f>'数据-汇总表'!E12</f>
        <v>0</v>
      </c>
      <c r="F61" s="830" t="e">
        <f t="shared" si="14"/>
        <v>#DIV/0!</v>
      </c>
      <c r="G61" s="836" t="s">
        <v>1898</v>
      </c>
      <c r="H61" s="831" t="str">
        <f>IF(G61="商业",项目基本情况!B37,IF(G61="办公",项目基本情况!C37,IF(G61="住宅",项目基本情况!D37,项目基本情况!E37)))</f>
        <v>一级</v>
      </c>
      <c r="I61" s="835">
        <f>SUMIF(修正!A57:A68,H61,修正!F57:F68)</f>
        <v>0.3</v>
      </c>
      <c r="J61" s="839"/>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1899</v>
      </c>
      <c r="B62" s="208" t="e">
        <f t="shared" si="16"/>
        <v>#DIV/0!</v>
      </c>
      <c r="C62" s="161">
        <f t="shared" si="15"/>
        <v>0</v>
      </c>
      <c r="D62" s="888">
        <v>0.25</v>
      </c>
      <c r="E62" s="207">
        <f>'数据-汇总表'!E13</f>
        <v>16503.550000000097</v>
      </c>
      <c r="F62" s="830" t="e">
        <f t="shared" si="14"/>
        <v>#DIV/0!</v>
      </c>
      <c r="G62" s="836" t="s">
        <v>1900</v>
      </c>
      <c r="H62" s="831">
        <f>IF(G62="商业",项目基本情况!B37,IF(G62="办公",项目基本情况!C37,IF(G62="住宅",项目基本情况!D37,项目基本情况!E37)))</f>
        <v>0</v>
      </c>
      <c r="I62" s="835">
        <f>SUMIF(修正!A57:A68,H62,修正!G57:G68)</f>
        <v>0</v>
      </c>
      <c r="J62" s="839"/>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1901</v>
      </c>
      <c r="B63" s="208" t="e">
        <f t="shared" si="16"/>
        <v>#DIV/0!</v>
      </c>
      <c r="C63" s="161">
        <f t="shared" si="15"/>
        <v>0.2</v>
      </c>
      <c r="D63" s="888">
        <v>0.25</v>
      </c>
      <c r="E63" s="207">
        <f>'数据-汇总表'!E14</f>
        <v>0</v>
      </c>
      <c r="F63" s="830" t="e">
        <f t="shared" si="14"/>
        <v>#DIV/0!</v>
      </c>
      <c r="G63" s="1832" t="s">
        <v>1892</v>
      </c>
      <c r="H63" s="831" t="str">
        <f>项目基本情况!B37</f>
        <v>一级</v>
      </c>
      <c r="I63" s="835">
        <f>SUMIF(修正!A57:A68,H63,修正!G57:G68)</f>
        <v>0.2</v>
      </c>
      <c r="J63" s="839"/>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4.4" thickBot="1">
      <c r="A64" s="611" t="s">
        <v>1902</v>
      </c>
      <c r="B64" s="208" t="e">
        <f t="shared" si="16"/>
        <v>#DIV/0!</v>
      </c>
      <c r="C64" s="161">
        <f t="shared" si="15"/>
        <v>0.2</v>
      </c>
      <c r="D64" s="888">
        <v>0.25</v>
      </c>
      <c r="E64" s="207">
        <f>'数据-汇总表'!E15</f>
        <v>0</v>
      </c>
      <c r="F64" s="830" t="e">
        <f t="shared" si="14"/>
        <v>#DIV/0!</v>
      </c>
      <c r="G64" s="1833" t="s">
        <v>1896</v>
      </c>
      <c r="H64" s="841" t="str">
        <f>项目基本情况!C37</f>
        <v>一级</v>
      </c>
      <c r="I64" s="837">
        <f>SUMIF(修正!A57:A68,H64,修正!G57:G68)</f>
        <v>0.2</v>
      </c>
      <c r="J64" s="840"/>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thickBot="1">
      <c r="A65" s="613" t="s">
        <v>1903</v>
      </c>
      <c r="B65" s="614" t="s">
        <v>22</v>
      </c>
      <c r="C65" s="614" t="s">
        <v>23</v>
      </c>
      <c r="D65" s="614" t="s">
        <v>392</v>
      </c>
      <c r="E65" s="614">
        <f>IF(B46="楼面地价",SUM(E56:E64),'数据-汇总表'!D3)</f>
        <v>17820.010000000097</v>
      </c>
      <c r="F65" s="615" t="e">
        <f>IF(B46="楼面地价",SUM(F56:F64),ROUND(C48*E65/10000,0))</f>
        <v>#DIV/0!</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4"/>
      <c r="C66" s="655"/>
      <c r="D66" s="383"/>
      <c r="E66" s="383"/>
      <c r="F66" s="383"/>
      <c r="G66" s="383"/>
      <c r="H66" s="383"/>
      <c r="I66" s="383"/>
      <c r="J66" s="858"/>
      <c r="K66" s="832"/>
      <c r="L66" s="833"/>
      <c r="M66" s="858"/>
      <c r="N66" s="858"/>
      <c r="O66" s="858"/>
      <c r="P66" s="2484"/>
      <c r="Q66" s="2484"/>
      <c r="R66" s="2484"/>
      <c r="S66" s="2484"/>
      <c r="T66" s="2484"/>
      <c r="U66" s="2484"/>
      <c r="V66" s="2484"/>
      <c r="W66" s="2484"/>
      <c r="X66" s="2484"/>
      <c r="Y66" s="2484"/>
      <c r="Z66" s="2484"/>
      <c r="AA66" s="2484"/>
      <c r="AB66" s="2484"/>
      <c r="AC66" s="2484"/>
    </row>
    <row r="67" spans="1:29">
      <c r="A67" s="383"/>
      <c r="B67" s="654"/>
      <c r="C67" s="654" t="str">
        <f>YEAR(C7)&amp;"-"&amp;MONTH(C7)&amp;"-1"</f>
        <v>2025-4-1</v>
      </c>
      <c r="D67" s="654">
        <f>EDATE(C67,-3)</f>
        <v>45658</v>
      </c>
      <c r="E67" s="654">
        <f>EDATE(D67,-3)</f>
        <v>45566</v>
      </c>
      <c r="F67" s="654">
        <f t="shared" ref="F67:O67" si="17">EDATE(E67,-3)</f>
        <v>45474</v>
      </c>
      <c r="G67" s="654">
        <f t="shared" si="17"/>
        <v>45383</v>
      </c>
      <c r="H67" s="654">
        <f t="shared" si="17"/>
        <v>45292</v>
      </c>
      <c r="I67" s="654">
        <f t="shared" si="17"/>
        <v>45200</v>
      </c>
      <c r="J67" s="654">
        <f t="shared" si="17"/>
        <v>45108</v>
      </c>
      <c r="K67" s="654">
        <f t="shared" si="17"/>
        <v>45017</v>
      </c>
      <c r="L67" s="654">
        <f t="shared" si="17"/>
        <v>44927</v>
      </c>
      <c r="M67" s="654">
        <f t="shared" si="17"/>
        <v>44835</v>
      </c>
      <c r="N67" s="654">
        <f t="shared" si="17"/>
        <v>44743</v>
      </c>
      <c r="O67" s="654">
        <f t="shared" si="17"/>
        <v>44652</v>
      </c>
      <c r="P67" s="2484"/>
      <c r="Q67" s="2484"/>
      <c r="R67" s="2484"/>
      <c r="S67" s="2484"/>
      <c r="T67" s="2484"/>
      <c r="U67" s="2484"/>
      <c r="V67" s="2484"/>
      <c r="W67" s="2484"/>
      <c r="X67" s="2484"/>
      <c r="Y67" s="2484"/>
      <c r="Z67" s="2484"/>
      <c r="AA67" s="2484"/>
      <c r="AB67" s="2484"/>
      <c r="AC67" s="2484"/>
    </row>
    <row r="68" spans="1:29" ht="22.2" thickBot="1">
      <c r="A68" s="656" t="s">
        <v>1798</v>
      </c>
      <c r="B68" s="383"/>
      <c r="C68" s="657"/>
      <c r="D68" s="657"/>
      <c r="E68" s="657"/>
      <c r="F68" s="658"/>
      <c r="G68" s="658"/>
      <c r="H68" s="657"/>
      <c r="I68" s="657"/>
      <c r="J68" s="883"/>
      <c r="K68" s="884"/>
      <c r="L68" s="885"/>
      <c r="M68" s="883"/>
      <c r="N68" s="2534"/>
      <c r="O68" s="2534"/>
      <c r="P68" s="2534"/>
      <c r="Q68" s="2505"/>
      <c r="R68" s="2484"/>
      <c r="S68" s="2484"/>
      <c r="T68" s="2484"/>
      <c r="U68" s="2484"/>
      <c r="V68" s="2484"/>
      <c r="W68" s="2484"/>
      <c r="X68" s="2484"/>
      <c r="Y68" s="2484"/>
      <c r="Z68" s="2484"/>
      <c r="AA68" s="2484"/>
      <c r="AB68" s="2484"/>
      <c r="AC68" s="2484"/>
    </row>
    <row r="69" spans="1:29" s="440" customFormat="1" ht="14.4">
      <c r="A69" s="1627" t="s">
        <v>1904</v>
      </c>
      <c r="B69" s="1043"/>
      <c r="C69" s="1098" t="str">
        <f>YEAR(C67)&amp;"-"&amp;ROUNDUP(MONTH(C67)/3,0)</f>
        <v>2025-2</v>
      </c>
      <c r="D69" s="1098" t="str">
        <f>YEAR(D67)&amp;"-"&amp;ROUNDUP(MONTH(D67)/3,0)</f>
        <v>2025-1</v>
      </c>
      <c r="E69" s="1098" t="str">
        <f t="shared" ref="E69:O69" si="18">YEAR(E67)&amp;"-"&amp;ROUNDUP(MONTH(E67)/3,0)</f>
        <v>2024-4</v>
      </c>
      <c r="F69" s="1098" t="str">
        <f t="shared" si="18"/>
        <v>2024-3</v>
      </c>
      <c r="G69" s="1098" t="str">
        <f t="shared" si="18"/>
        <v>2024-2</v>
      </c>
      <c r="H69" s="1098" t="str">
        <f t="shared" si="18"/>
        <v>2024-1</v>
      </c>
      <c r="I69" s="1098" t="str">
        <f t="shared" si="18"/>
        <v>2023-4</v>
      </c>
      <c r="J69" s="1098" t="str">
        <f t="shared" si="18"/>
        <v>2023-3</v>
      </c>
      <c r="K69" s="1098" t="str">
        <f t="shared" si="18"/>
        <v>2023-2</v>
      </c>
      <c r="L69" s="1098" t="str">
        <f t="shared" si="18"/>
        <v>2023-1</v>
      </c>
      <c r="M69" s="1098" t="str">
        <f t="shared" si="18"/>
        <v>2022-4</v>
      </c>
      <c r="N69" s="1098" t="str">
        <f t="shared" si="18"/>
        <v>2022-3</v>
      </c>
      <c r="O69" s="1098" t="str">
        <f t="shared" si="18"/>
        <v>2022-2</v>
      </c>
      <c r="P69" s="2507"/>
      <c r="Q69" s="2507"/>
      <c r="R69" s="2507"/>
      <c r="S69" s="2507"/>
      <c r="T69" s="2507"/>
      <c r="U69" s="2507"/>
      <c r="V69" s="2507"/>
      <c r="W69" s="2507"/>
      <c r="X69" s="2507"/>
      <c r="Y69" s="2507"/>
      <c r="Z69" s="2507"/>
      <c r="AA69" s="2507"/>
      <c r="AB69" s="2507"/>
      <c r="AC69" s="2507"/>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5"/>
      <c r="Q70" s="2437"/>
      <c r="R70" s="2437"/>
      <c r="S70" s="2437"/>
      <c r="T70" s="2437"/>
      <c r="U70" s="2437"/>
      <c r="V70" s="2437"/>
      <c r="W70" s="2437"/>
      <c r="X70" s="2437"/>
      <c r="Y70" s="2437"/>
      <c r="Z70" s="2437"/>
      <c r="AA70" s="2437"/>
      <c r="AB70" s="2437"/>
      <c r="AC70" s="2437"/>
    </row>
    <row r="71" spans="1:29" s="101" customFormat="1" ht="15" thickBot="1">
      <c r="A71" s="447" t="s">
        <v>1716</v>
      </c>
      <c r="B71" s="448"/>
      <c r="C71" s="449"/>
      <c r="D71" s="450"/>
      <c r="E71" s="450"/>
      <c r="F71" s="450"/>
      <c r="G71" s="450"/>
      <c r="H71" s="450"/>
      <c r="I71" s="450"/>
      <c r="J71" s="450"/>
      <c r="K71" s="450"/>
      <c r="L71" s="450"/>
      <c r="M71" s="451"/>
      <c r="N71" s="450"/>
      <c r="O71" s="886"/>
      <c r="P71" s="2505"/>
      <c r="Q71" s="2505"/>
      <c r="R71" s="2437"/>
      <c r="S71" s="2437"/>
      <c r="T71" s="2437"/>
      <c r="U71" s="2437"/>
      <c r="V71" s="2437"/>
      <c r="W71" s="2437"/>
      <c r="X71" s="2437"/>
      <c r="Y71" s="2437"/>
      <c r="Z71" s="2437"/>
      <c r="AA71" s="2437"/>
      <c r="AB71" s="2437"/>
      <c r="AC71" s="2437"/>
    </row>
    <row r="72" spans="1:29" s="101" customFormat="1" ht="14.4">
      <c r="A72" s="453" t="s">
        <v>1681</v>
      </c>
      <c r="B72" s="442"/>
      <c r="C72" s="454" t="s">
        <v>1776</v>
      </c>
      <c r="D72" s="31"/>
      <c r="E72" s="31"/>
      <c r="F72" s="31"/>
      <c r="G72" s="31"/>
      <c r="H72" s="31"/>
      <c r="I72" s="31"/>
      <c r="J72" s="31"/>
      <c r="K72" s="31"/>
      <c r="L72" s="455"/>
      <c r="M72" s="456"/>
      <c r="N72" s="2517"/>
      <c r="O72" s="2517"/>
      <c r="P72" s="2541"/>
      <c r="Q72" s="2505"/>
      <c r="R72" s="2437"/>
      <c r="S72" s="2437"/>
      <c r="T72" s="2437"/>
      <c r="U72" s="2437"/>
      <c r="V72" s="2437"/>
      <c r="W72" s="2437"/>
      <c r="X72" s="2437"/>
      <c r="Y72" s="2437"/>
      <c r="Z72" s="2437"/>
      <c r="AA72" s="2437"/>
      <c r="AB72" s="2437"/>
      <c r="AC72" s="2437"/>
    </row>
    <row r="73" spans="1:29" s="101" customFormat="1" ht="14.4" thickBot="1">
      <c r="A73" s="453"/>
      <c r="B73" s="442"/>
      <c r="C73" s="561">
        <v>100</v>
      </c>
      <c r="D73" s="444"/>
      <c r="E73" s="444"/>
      <c r="F73" s="444"/>
      <c r="G73" s="444"/>
      <c r="H73" s="444"/>
      <c r="I73" s="444"/>
      <c r="J73" s="444"/>
      <c r="K73" s="444"/>
      <c r="L73" s="444"/>
      <c r="M73" s="446"/>
      <c r="N73" s="2517"/>
      <c r="O73" s="2517"/>
      <c r="P73" s="2505"/>
      <c r="Q73" s="2505"/>
      <c r="R73" s="2437"/>
      <c r="S73" s="2437"/>
      <c r="T73" s="2437"/>
      <c r="U73" s="2437"/>
      <c r="V73" s="2437"/>
      <c r="W73" s="2437"/>
      <c r="X73" s="2437"/>
      <c r="Y73" s="2437"/>
      <c r="Z73" s="2437"/>
      <c r="AA73" s="2437"/>
      <c r="AB73" s="2437"/>
      <c r="AC73" s="2437"/>
    </row>
    <row r="74" spans="1:29" ht="14.4">
      <c r="A74" s="377" t="s">
        <v>1719</v>
      </c>
      <c r="B74" s="458" t="s">
        <v>1685</v>
      </c>
      <c r="C74" s="460"/>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4.4" thickBot="1">
      <c r="A75" s="365"/>
      <c r="B75" s="464"/>
      <c r="C75" s="465"/>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9.4"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4.4"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c r="A79" s="365"/>
      <c r="B79" s="477"/>
      <c r="C79" s="478"/>
      <c r="D79" s="478"/>
      <c r="E79" s="478"/>
      <c r="F79" s="478"/>
      <c r="G79" s="478"/>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4.4"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9"/>
      <c r="O80" s="2519"/>
      <c r="P80" s="2517"/>
      <c r="Q80" s="2505"/>
      <c r="R80" s="2484"/>
      <c r="S80" s="2484"/>
      <c r="T80" s="2484"/>
      <c r="U80" s="2484"/>
      <c r="V80" s="2484"/>
      <c r="W80" s="2484"/>
      <c r="X80" s="2484"/>
      <c r="Y80" s="2484"/>
      <c r="Z80" s="2484"/>
      <c r="AA80" s="2484"/>
      <c r="AB80" s="2484"/>
      <c r="AC80" s="2484"/>
    </row>
    <row r="81" spans="1:29" s="406" customFormat="1" ht="14.4" thickTop="1">
      <c r="A81" s="482"/>
      <c r="B81" s="467" t="str">
        <f>B12</f>
        <v>配建</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4.4"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4.4"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4.4"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4.4"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4.4"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ht="14.4">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 thickTop="1">
      <c r="A89" s="365"/>
      <c r="B89" s="467" t="s">
        <v>1906</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1" customFormat="1" ht="29.4" thickTop="1">
      <c r="A95" s="368"/>
      <c r="B95" s="467" t="s">
        <v>1907</v>
      </c>
      <c r="C95" s="507" t="s">
        <v>1721</v>
      </c>
      <c r="D95" s="507" t="s">
        <v>1722</v>
      </c>
      <c r="E95" s="507" t="s">
        <v>1723</v>
      </c>
      <c r="F95" s="507" t="s">
        <v>1724</v>
      </c>
      <c r="G95" s="507" t="s">
        <v>1725</v>
      </c>
      <c r="H95" s="507"/>
      <c r="I95" s="507"/>
      <c r="J95" s="507"/>
      <c r="K95" s="507"/>
      <c r="L95" s="616"/>
      <c r="M95" s="545"/>
      <c r="N95" s="2517"/>
      <c r="O95" s="2517"/>
      <c r="P95" s="2517"/>
      <c r="Q95" s="2505"/>
      <c r="R95" s="2437"/>
      <c r="S95" s="2437"/>
      <c r="T95" s="2437"/>
      <c r="U95" s="2437"/>
      <c r="V95" s="2437"/>
      <c r="W95" s="2437"/>
      <c r="X95" s="2437"/>
      <c r="Y95" s="2437"/>
      <c r="Z95" s="2437"/>
      <c r="AA95" s="2437"/>
      <c r="AB95" s="2437"/>
      <c r="AC95" s="2437"/>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9"/>
      <c r="O96" s="2519"/>
      <c r="P96" s="2517"/>
      <c r="Q96" s="2505"/>
      <c r="R96" s="2437"/>
      <c r="S96" s="2437"/>
      <c r="T96" s="2437"/>
      <c r="U96" s="2437"/>
      <c r="V96" s="2437"/>
      <c r="W96" s="2437"/>
      <c r="X96" s="2437"/>
      <c r="Y96" s="2437"/>
      <c r="Z96" s="2437"/>
      <c r="AA96" s="2437"/>
      <c r="AB96" s="2437"/>
      <c r="AC96" s="2437"/>
    </row>
    <row r="97" spans="1:29" s="101" customFormat="1" ht="29.4" thickTop="1">
      <c r="A97" s="368"/>
      <c r="B97" s="467" t="s">
        <v>1908</v>
      </c>
      <c r="C97" s="502" t="s">
        <v>1721</v>
      </c>
      <c r="D97" s="502" t="s">
        <v>1722</v>
      </c>
      <c r="E97" s="502" t="s">
        <v>1723</v>
      </c>
      <c r="F97" s="502" t="s">
        <v>1724</v>
      </c>
      <c r="G97" s="502" t="s">
        <v>1725</v>
      </c>
      <c r="H97" s="507"/>
      <c r="I97" s="507"/>
      <c r="J97" s="507"/>
      <c r="K97" s="507"/>
      <c r="L97" s="507"/>
      <c r="M97" s="545"/>
      <c r="N97" s="2517"/>
      <c r="O97" s="2517"/>
      <c r="P97" s="2517"/>
      <c r="Q97" s="2505"/>
      <c r="R97" s="2437"/>
      <c r="S97" s="2437"/>
      <c r="T97" s="2437"/>
      <c r="U97" s="2437"/>
      <c r="V97" s="2437"/>
      <c r="W97" s="2437"/>
      <c r="X97" s="2437"/>
      <c r="Y97" s="2437"/>
      <c r="Z97" s="2437"/>
      <c r="AA97" s="2437"/>
      <c r="AB97" s="2437"/>
      <c r="AC97" s="2437"/>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9"/>
      <c r="O98" s="2519"/>
      <c r="P98" s="2517"/>
      <c r="Q98" s="2505"/>
      <c r="R98" s="2437"/>
      <c r="S98" s="2437"/>
      <c r="T98" s="2437"/>
      <c r="U98" s="2437"/>
      <c r="V98" s="2437"/>
      <c r="W98" s="2437"/>
      <c r="X98" s="2437"/>
      <c r="Y98" s="2437"/>
      <c r="Z98" s="2437"/>
      <c r="AA98" s="2437"/>
      <c r="AB98" s="2437"/>
      <c r="AC98" s="2437"/>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2"/>
      <c r="N101" s="2520"/>
      <c r="O101" s="2520"/>
      <c r="P101" s="2520"/>
      <c r="Q101" s="2512"/>
      <c r="R101" s="2490"/>
      <c r="S101" s="2490"/>
      <c r="T101" s="2490"/>
      <c r="U101" s="2490"/>
      <c r="V101" s="2490"/>
      <c r="W101" s="2490"/>
      <c r="X101" s="2490"/>
      <c r="Y101" s="2490"/>
      <c r="Z101" s="2490"/>
      <c r="AA101" s="2490"/>
      <c r="AB101" s="2490"/>
      <c r="AC101" s="2490"/>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2"/>
      <c r="N102" s="2520"/>
      <c r="O102" s="2520"/>
      <c r="P102" s="2520"/>
      <c r="Q102" s="2512"/>
      <c r="R102" s="2490"/>
      <c r="S102" s="2490"/>
      <c r="T102" s="2490"/>
      <c r="U102" s="2490"/>
      <c r="V102" s="2490"/>
      <c r="W102" s="2490"/>
      <c r="X102" s="2490"/>
      <c r="Y102" s="2490"/>
      <c r="Z102" s="2490"/>
      <c r="AA102" s="2490"/>
      <c r="AB102" s="2490"/>
      <c r="AC102" s="2490"/>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4.4"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4.4"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5"/>
      <c r="B107" s="467" t="s">
        <v>1873</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4.4"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4.4"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4.4"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4.4"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4.4"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4.4"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14.4">
      <c r="A115" s="377" t="s">
        <v>1694</v>
      </c>
      <c r="B115" s="458" t="s">
        <v>1913</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8"/>
      <c r="O115" s="2518"/>
      <c r="P115" s="2517"/>
      <c r="Q115" s="2505"/>
      <c r="R115" s="2484"/>
      <c r="S115" s="2484"/>
      <c r="T115" s="2484"/>
      <c r="U115" s="2484"/>
      <c r="V115" s="2484"/>
      <c r="W115" s="2484"/>
      <c r="X115" s="2484"/>
      <c r="Y115" s="2484"/>
      <c r="Z115" s="2484"/>
      <c r="AA115" s="2484"/>
      <c r="AB115" s="2484"/>
      <c r="AC115" s="2484"/>
    </row>
    <row r="116" spans="1:29">
      <c r="A116" s="365"/>
      <c r="B116" s="475"/>
      <c r="C116" s="6"/>
      <c r="D116" s="6"/>
      <c r="E116" s="6"/>
      <c r="F116" s="6"/>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4.4" thickBot="1">
      <c r="A117" s="365"/>
      <c r="B117" s="472"/>
      <c r="C117" s="499"/>
      <c r="D117" s="519"/>
      <c r="E117" s="519"/>
      <c r="F117" s="519"/>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1914</v>
      </c>
      <c r="C118" s="511"/>
      <c r="D118" s="511"/>
      <c r="E118" s="511"/>
      <c r="F118" s="511"/>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4.4"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1915</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4.4"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1916</v>
      </c>
      <c r="C122" s="483"/>
      <c r="D122" s="483"/>
      <c r="E122" s="483"/>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4.4"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1917</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4.4"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4.4"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4.4"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4.4"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4.4"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4.4"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2" priority="13" stopIfTrue="1">
      <formula>$F$51="超过30%"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F7:F45 H7:H45 J7:J45">
    <cfRule type="cellIs" dxfId="19" priority="1" operator="notEqual">
      <formula>100</formula>
    </cfRule>
  </conditionalFormatting>
  <conditionalFormatting sqref="F51:F53 H51:H53 J51:J53">
    <cfRule type="containsText" dxfId="18" priority="14" stopIfTrue="1" operator="containsText" text="超过">
      <formula>NOT(ISERROR(SEARCH("超过",F51)))</formula>
    </cfRule>
  </conditionalFormatting>
  <conditionalFormatting sqref="G51">
    <cfRule type="expression" dxfId="17" priority="9" stopIfTrue="1">
      <formula>$H$53+$H$51="超过30%"</formula>
    </cfRule>
  </conditionalFormatting>
  <conditionalFormatting sqref="G52">
    <cfRule type="expression" dxfId="16" priority="8" stopIfTrue="1">
      <formula>$H$52="超过20%"</formula>
    </cfRule>
  </conditionalFormatting>
  <conditionalFormatting sqref="G53">
    <cfRule type="expression" dxfId="15" priority="12" stopIfTrue="1">
      <formula>$H$53="超过30%"</formula>
    </cfRule>
  </conditionalFormatting>
  <conditionalFormatting sqref="I51">
    <cfRule type="expression" dxfId="14" priority="7" stopIfTrue="1">
      <formula>$J$51="超过30%"</formula>
    </cfRule>
  </conditionalFormatting>
  <conditionalFormatting sqref="I52">
    <cfRule type="expression" dxfId="13" priority="6" stopIfTrue="1">
      <formula>$J$52="超过20%"</formula>
    </cfRule>
  </conditionalFormatting>
  <conditionalFormatting sqref="I53">
    <cfRule type="expression" dxfId="12" priority="5" stopIfTrue="1">
      <formula>$J$53="超过30%"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500"/>
      <c r="M3" s="2501"/>
      <c r="N3" s="2501"/>
      <c r="O3" s="2501"/>
      <c r="P3" s="339"/>
      <c r="Q3" s="339"/>
      <c r="R3" s="339"/>
      <c r="S3" s="339"/>
      <c r="T3" s="339"/>
      <c r="U3" s="339"/>
      <c r="V3" s="339"/>
      <c r="W3" s="339"/>
      <c r="X3" s="339"/>
      <c r="Y3" s="339"/>
      <c r="Z3" s="339"/>
      <c r="AA3" s="339"/>
      <c r="AB3" s="674"/>
      <c r="AC3" s="661"/>
    </row>
    <row r="4" spans="1:29" ht="14.4">
      <c r="A4" s="343" t="s">
        <v>1769</v>
      </c>
      <c r="B4" s="344"/>
      <c r="C4" s="3438" t="s">
        <v>1770</v>
      </c>
      <c r="D4" s="3439"/>
      <c r="E4" s="3440" t="s">
        <v>1771</v>
      </c>
      <c r="F4" s="3441"/>
      <c r="G4" s="3438" t="s">
        <v>1772</v>
      </c>
      <c r="H4" s="3439"/>
      <c r="I4" s="3438" t="s">
        <v>1773</v>
      </c>
      <c r="J4" s="3439"/>
      <c r="K4" s="535" t="s">
        <v>1774</v>
      </c>
      <c r="L4" s="2483"/>
      <c r="M4" s="2484"/>
      <c r="N4" s="2484"/>
      <c r="O4" s="2484"/>
      <c r="P4" s="3442" t="s">
        <v>1775</v>
      </c>
      <c r="Q4" s="3443"/>
      <c r="R4" s="3425" t="s">
        <v>1771</v>
      </c>
      <c r="S4" s="3426"/>
      <c r="T4" s="3425" t="s">
        <v>1772</v>
      </c>
      <c r="U4" s="3426"/>
      <c r="V4" s="3450" t="s">
        <v>1773</v>
      </c>
      <c r="W4" s="3450"/>
      <c r="X4" s="1262"/>
      <c r="Y4" s="3425" t="s">
        <v>1775</v>
      </c>
      <c r="Z4" s="3426"/>
      <c r="AA4" s="3420" t="s">
        <v>1771</v>
      </c>
      <c r="AB4" s="3421" t="s">
        <v>1772</v>
      </c>
      <c r="AC4" s="3420" t="s">
        <v>1773</v>
      </c>
    </row>
    <row r="5" spans="1:29">
      <c r="A5" s="346"/>
      <c r="B5" s="347"/>
      <c r="C5" s="3431" t="s">
        <v>1673</v>
      </c>
      <c r="D5" s="3432"/>
      <c r="E5" s="3429" t="s">
        <v>1674</v>
      </c>
      <c r="F5" s="3430"/>
      <c r="G5" s="3431" t="s">
        <v>1675</v>
      </c>
      <c r="H5" s="3432"/>
      <c r="I5" s="3431" t="s">
        <v>1676</v>
      </c>
      <c r="J5" s="3432"/>
      <c r="K5" s="535"/>
      <c r="L5" s="2483"/>
      <c r="M5" s="2484"/>
      <c r="N5" s="2484"/>
      <c r="O5" s="2484"/>
      <c r="P5" s="3444"/>
      <c r="Q5" s="3445"/>
      <c r="R5" s="3427"/>
      <c r="S5" s="3428"/>
      <c r="T5" s="3427"/>
      <c r="U5" s="3428"/>
      <c r="V5" s="3450"/>
      <c r="W5" s="3450"/>
      <c r="X5" s="1262"/>
      <c r="Y5" s="3427"/>
      <c r="Z5" s="3428"/>
      <c r="AA5" s="3421"/>
      <c r="AB5" s="3421"/>
      <c r="AC5" s="3421"/>
    </row>
    <row r="6" spans="1:29" ht="15" thickBot="1">
      <c r="A6" s="348"/>
      <c r="B6" s="349"/>
      <c r="C6" s="3485" t="s">
        <v>1919</v>
      </c>
      <c r="D6" s="3486"/>
      <c r="E6" s="3487" t="s">
        <v>1919</v>
      </c>
      <c r="F6" s="3488"/>
      <c r="G6" s="3485" t="s">
        <v>1919</v>
      </c>
      <c r="H6" s="3486"/>
      <c r="I6" s="3485" t="s">
        <v>1919</v>
      </c>
      <c r="J6" s="3486"/>
      <c r="K6" s="535" t="s">
        <v>1678</v>
      </c>
      <c r="L6" s="2483"/>
      <c r="M6" s="2484"/>
      <c r="N6" s="2484"/>
      <c r="O6" s="2484"/>
      <c r="P6" s="3446"/>
      <c r="Q6" s="3447"/>
      <c r="R6" s="3427"/>
      <c r="S6" s="3428"/>
      <c r="T6" s="3448"/>
      <c r="U6" s="3449"/>
      <c r="V6" s="3450"/>
      <c r="W6" s="3450"/>
      <c r="X6" s="1262"/>
      <c r="Y6" s="3448"/>
      <c r="Z6" s="3449"/>
      <c r="AA6" s="3422"/>
      <c r="AB6" s="3422"/>
      <c r="AC6" s="3422"/>
    </row>
    <row r="7" spans="1:29" s="101" customFormat="1" ht="15" thickBot="1">
      <c r="A7" s="350" t="s">
        <v>1679</v>
      </c>
      <c r="B7" s="351"/>
      <c r="C7" s="352">
        <f>'数据-取费表'!B2</f>
        <v>45762</v>
      </c>
      <c r="D7" s="353">
        <v>100</v>
      </c>
      <c r="E7" s="354"/>
      <c r="F7" s="355">
        <f>SUMIF(65:65,YEAR(E7)&amp;"-"&amp;INT((MONTH(E7)+2)/3),66:66)</f>
        <v>0</v>
      </c>
      <c r="G7" s="1819"/>
      <c r="H7" s="353">
        <f>SUMIF(65:65,YEAR(G7)&amp;"-"&amp;INT((MONTH(G7)+2)/3),66:66)</f>
        <v>0</v>
      </c>
      <c r="I7" s="1819"/>
      <c r="J7" s="353">
        <f>SUMIF(65:65,YEAR(I7)&amp;"-"&amp;INT((MONTH(I7)+2)/3),66:66)</f>
        <v>0</v>
      </c>
      <c r="K7" s="38"/>
      <c r="L7" s="2485"/>
      <c r="M7" s="2437"/>
      <c r="N7" s="2437"/>
      <c r="O7" s="2437"/>
      <c r="P7" s="3423" t="s">
        <v>1680</v>
      </c>
      <c r="Q7" s="3451"/>
      <c r="R7" s="662" t="s">
        <v>14</v>
      </c>
      <c r="S7" s="663">
        <f t="shared" ref="S7:S15" si="0">F7</f>
        <v>0</v>
      </c>
      <c r="T7" s="662" t="s">
        <v>14</v>
      </c>
      <c r="U7" s="663">
        <f t="shared" ref="U7:U15" si="1">H7</f>
        <v>0</v>
      </c>
      <c r="V7" s="662" t="s">
        <v>14</v>
      </c>
      <c r="W7" s="663">
        <f t="shared" ref="W7:W15" si="2">J7</f>
        <v>0</v>
      </c>
      <c r="X7" s="664"/>
      <c r="Y7" s="3423" t="s">
        <v>1680</v>
      </c>
      <c r="Z7" s="3424"/>
      <c r="AA7" s="50" t="e">
        <f>D7/F7</f>
        <v>#DIV/0!</v>
      </c>
      <c r="AB7" s="50" t="e">
        <f>D7/H7</f>
        <v>#DIV/0!</v>
      </c>
      <c r="AC7" s="50" t="e">
        <f>D7/J7</f>
        <v>#DIV/0!</v>
      </c>
    </row>
    <row r="8" spans="1:29" s="101"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7"/>
      <c r="N8" s="2437"/>
      <c r="O8" s="2437"/>
      <c r="P8" s="3423" t="s">
        <v>1683</v>
      </c>
      <c r="Q8" s="3424"/>
      <c r="R8" s="662" t="s">
        <v>14</v>
      </c>
      <c r="S8" s="663">
        <f t="shared" si="0"/>
        <v>0</v>
      </c>
      <c r="T8" s="662" t="s">
        <v>14</v>
      </c>
      <c r="U8" s="663">
        <f t="shared" si="1"/>
        <v>0</v>
      </c>
      <c r="V8" s="662" t="s">
        <v>14</v>
      </c>
      <c r="W8" s="663">
        <f t="shared" si="2"/>
        <v>0</v>
      </c>
      <c r="X8" s="664"/>
      <c r="Y8" s="3423" t="s">
        <v>1683</v>
      </c>
      <c r="Z8" s="3424"/>
      <c r="AA8" s="50" t="e">
        <f t="shared" ref="AA8:AA40" si="3">D8/F8</f>
        <v>#DIV/0!</v>
      </c>
      <c r="AB8" s="50" t="e">
        <f t="shared" ref="AB8:AB40" si="4">D8/H8</f>
        <v>#DIV/0!</v>
      </c>
      <c r="AC8" s="50" t="e">
        <f t="shared" ref="AC8:AC40" si="5">D8/J8</f>
        <v>#DIV/0!</v>
      </c>
    </row>
    <row r="9" spans="1:29" s="101" customFormat="1" ht="14.4">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7"/>
      <c r="N9" s="2437"/>
      <c r="O9" s="2537"/>
      <c r="P9" s="3455" t="s">
        <v>1686</v>
      </c>
      <c r="Q9" s="528" t="str">
        <f t="shared" ref="Q9:Q15" si="6">B9</f>
        <v>用途</v>
      </c>
      <c r="R9" s="662" t="s">
        <v>14</v>
      </c>
      <c r="S9" s="663">
        <f t="shared" si="0"/>
        <v>100</v>
      </c>
      <c r="T9" s="662" t="s">
        <v>14</v>
      </c>
      <c r="U9" s="663">
        <f t="shared" si="1"/>
        <v>100</v>
      </c>
      <c r="V9" s="662" t="s">
        <v>14</v>
      </c>
      <c r="W9" s="663">
        <f t="shared" si="2"/>
        <v>100</v>
      </c>
      <c r="X9" s="664"/>
      <c r="Y9" s="334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135</v>
      </c>
      <c r="G10" s="369"/>
      <c r="H10" s="117">
        <f>ROUND(100/'数据-取费表'!G16,0)</f>
        <v>135</v>
      </c>
      <c r="I10" s="369"/>
      <c r="J10" s="117">
        <f>ROUND(100/'数据-取费表'!G16,0)</f>
        <v>135</v>
      </c>
      <c r="K10" s="590"/>
      <c r="L10" s="2486"/>
      <c r="M10" s="2487"/>
      <c r="N10" s="2487"/>
      <c r="O10" s="2538"/>
      <c r="P10" s="3455"/>
      <c r="Q10" s="528" t="str">
        <f t="shared" si="6"/>
        <v>土地使用年限（年）</v>
      </c>
      <c r="R10" s="662" t="s">
        <v>14</v>
      </c>
      <c r="S10" s="663">
        <f t="shared" si="0"/>
        <v>135</v>
      </c>
      <c r="T10" s="662" t="s">
        <v>14</v>
      </c>
      <c r="U10" s="663">
        <f t="shared" si="1"/>
        <v>135</v>
      </c>
      <c r="V10" s="662" t="s">
        <v>14</v>
      </c>
      <c r="W10" s="663">
        <f t="shared" si="2"/>
        <v>135</v>
      </c>
      <c r="X10" s="664"/>
      <c r="Y10" s="3348"/>
      <c r="Z10" s="50" t="str">
        <f t="shared" si="7"/>
        <v>土地使用年限（年）</v>
      </c>
      <c r="AA10" s="50">
        <f t="shared" si="3"/>
        <v>0.7407407407407407</v>
      </c>
      <c r="AB10" s="50">
        <f t="shared" si="4"/>
        <v>0.7407407407407407</v>
      </c>
      <c r="AC10" s="50">
        <f t="shared" si="5"/>
        <v>0.7407407407407407</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8"/>
      <c r="M11" s="2484"/>
      <c r="N11" s="2484"/>
      <c r="O11" s="2539"/>
      <c r="P11" s="3455"/>
      <c r="Q11" s="528" t="str">
        <f t="shared" si="6"/>
        <v>容积率</v>
      </c>
      <c r="R11" s="662" t="s">
        <v>14</v>
      </c>
      <c r="S11" s="663" t="e">
        <f t="shared" si="0"/>
        <v>#N/A</v>
      </c>
      <c r="T11" s="662" t="s">
        <v>14</v>
      </c>
      <c r="U11" s="663" t="e">
        <f t="shared" si="1"/>
        <v>#N/A</v>
      </c>
      <c r="V11" s="662" t="s">
        <v>14</v>
      </c>
      <c r="W11" s="663" t="e">
        <f t="shared" si="2"/>
        <v>#N/A</v>
      </c>
      <c r="X11" s="664"/>
      <c r="Y11" s="3348"/>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5"/>
      <c r="M12" s="2437"/>
      <c r="N12" s="2437"/>
      <c r="O12" s="2537"/>
      <c r="P12" s="3455"/>
      <c r="Q12" s="528">
        <f t="shared" si="6"/>
        <v>111</v>
      </c>
      <c r="R12" s="662" t="s">
        <v>14</v>
      </c>
      <c r="S12" s="663">
        <f t="shared" si="0"/>
        <v>100</v>
      </c>
      <c r="T12" s="662" t="s">
        <v>14</v>
      </c>
      <c r="U12" s="663">
        <f t="shared" si="1"/>
        <v>100</v>
      </c>
      <c r="V12" s="662" t="s">
        <v>14</v>
      </c>
      <c r="W12" s="663">
        <f t="shared" si="2"/>
        <v>100</v>
      </c>
      <c r="X12" s="664"/>
      <c r="Y12" s="334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9"/>
      <c r="M13" s="2484"/>
      <c r="N13" s="2484"/>
      <c r="O13" s="2539"/>
      <c r="P13" s="3455"/>
      <c r="Q13" s="528">
        <f t="shared" si="6"/>
        <v>111</v>
      </c>
      <c r="R13" s="662" t="s">
        <v>14</v>
      </c>
      <c r="S13" s="663">
        <f t="shared" si="0"/>
        <v>100</v>
      </c>
      <c r="T13" s="662" t="s">
        <v>14</v>
      </c>
      <c r="U13" s="663">
        <f t="shared" si="1"/>
        <v>100</v>
      </c>
      <c r="V13" s="662" t="s">
        <v>14</v>
      </c>
      <c r="W13" s="663">
        <f t="shared" si="2"/>
        <v>100</v>
      </c>
      <c r="X13" s="664"/>
      <c r="Y13" s="3348"/>
      <c r="Z13" s="50">
        <f t="shared" si="7"/>
        <v>111</v>
      </c>
      <c r="AA13" s="50">
        <f t="shared" si="3"/>
        <v>1</v>
      </c>
      <c r="AB13" s="50">
        <f t="shared" si="4"/>
        <v>1</v>
      </c>
      <c r="AC13" s="50">
        <f t="shared" si="5"/>
        <v>1</v>
      </c>
    </row>
    <row r="14" spans="1:29" ht="15.6"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455"/>
      <c r="Q14" s="528">
        <f t="shared" si="6"/>
        <v>111</v>
      </c>
      <c r="R14" s="662" t="s">
        <v>14</v>
      </c>
      <c r="S14" s="663">
        <f t="shared" si="0"/>
        <v>100</v>
      </c>
      <c r="T14" s="662" t="s">
        <v>14</v>
      </c>
      <c r="U14" s="663">
        <f t="shared" si="1"/>
        <v>100</v>
      </c>
      <c r="V14" s="662" t="s">
        <v>14</v>
      </c>
      <c r="W14" s="663">
        <f t="shared" si="2"/>
        <v>100</v>
      </c>
      <c r="X14" s="664"/>
      <c r="Y14" s="3348"/>
      <c r="Z14" s="50">
        <f t="shared" si="7"/>
        <v>111</v>
      </c>
      <c r="AA14" s="50">
        <f t="shared" si="3"/>
        <v>1</v>
      </c>
      <c r="AB14" s="50">
        <f t="shared" si="4"/>
        <v>1</v>
      </c>
      <c r="AC14" s="50">
        <f t="shared" si="5"/>
        <v>1</v>
      </c>
    </row>
    <row r="15" spans="1:29" ht="69">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9"/>
      <c r="M16" s="2484"/>
      <c r="N16" s="2484"/>
      <c r="O16" s="2539"/>
      <c r="P16" s="3457"/>
      <c r="Q16" s="1260"/>
      <c r="R16" s="665"/>
      <c r="S16" s="666"/>
      <c r="T16" s="665"/>
      <c r="U16" s="666"/>
      <c r="V16" s="665"/>
      <c r="W16" s="666"/>
      <c r="X16" s="1262"/>
      <c r="Y16" s="3457"/>
      <c r="Z16" s="1261"/>
      <c r="AA16" s="1261">
        <v>1</v>
      </c>
      <c r="AB16" s="1261">
        <v>1</v>
      </c>
      <c r="AC16" s="1261">
        <v>1</v>
      </c>
    </row>
    <row r="17" spans="1:29" ht="96.6">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9"/>
      <c r="M18" s="2484"/>
      <c r="N18" s="2484"/>
      <c r="O18" s="2539"/>
      <c r="P18" s="3457"/>
      <c r="Q18" s="1260"/>
      <c r="R18" s="665"/>
      <c r="S18" s="666"/>
      <c r="T18" s="665"/>
      <c r="U18" s="666"/>
      <c r="V18" s="665"/>
      <c r="W18" s="666"/>
      <c r="X18" s="1262"/>
      <c r="Y18" s="3457"/>
      <c r="Z18" s="1261"/>
      <c r="AA18" s="1261">
        <v>1</v>
      </c>
      <c r="AB18" s="1261">
        <v>1</v>
      </c>
      <c r="AC18" s="1261">
        <v>1</v>
      </c>
    </row>
    <row r="19" spans="1:29" ht="28.8">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9"/>
      <c r="M20" s="2484"/>
      <c r="N20" s="2484"/>
      <c r="O20" s="2539"/>
      <c r="P20" s="3457"/>
      <c r="Q20" s="1260"/>
      <c r="R20" s="665"/>
      <c r="S20" s="666"/>
      <c r="T20" s="665"/>
      <c r="U20" s="666"/>
      <c r="V20" s="665"/>
      <c r="W20" s="666"/>
      <c r="X20" s="1262"/>
      <c r="Y20" s="3457"/>
      <c r="Z20" s="1261"/>
      <c r="AA20" s="1261"/>
      <c r="AB20" s="1261"/>
      <c r="AC20" s="1261"/>
    </row>
    <row r="21" spans="1:29" ht="82.8">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9"/>
      <c r="M22" s="2484"/>
      <c r="N22" s="2484"/>
      <c r="O22" s="2539"/>
      <c r="P22" s="3457"/>
      <c r="Q22" s="1260"/>
      <c r="R22" s="665"/>
      <c r="S22" s="666"/>
      <c r="T22" s="665"/>
      <c r="U22" s="666"/>
      <c r="V22" s="665"/>
      <c r="W22" s="666"/>
      <c r="X22" s="1262"/>
      <c r="Y22" s="3457"/>
      <c r="Z22" s="1261"/>
      <c r="AA22" s="1261">
        <v>1</v>
      </c>
      <c r="AB22" s="1261">
        <v>1</v>
      </c>
      <c r="AC22" s="1261">
        <v>1</v>
      </c>
    </row>
    <row r="23" spans="1:29" s="101" customFormat="1" ht="41.4">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5"/>
      <c r="M23" s="2437"/>
      <c r="N23" s="2437"/>
      <c r="O23" s="2537"/>
      <c r="P23" s="3457"/>
      <c r="Q23" s="528"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5"/>
      <c r="M24" s="2437"/>
      <c r="N24" s="2437"/>
      <c r="O24" s="2537"/>
      <c r="P24" s="3457"/>
      <c r="Q24" s="528"/>
      <c r="R24" s="662"/>
      <c r="S24" s="663"/>
      <c r="T24" s="662"/>
      <c r="U24" s="663"/>
      <c r="V24" s="662"/>
      <c r="W24" s="663"/>
      <c r="X24" s="664"/>
      <c r="Y24" s="3457"/>
      <c r="Z24" s="50"/>
      <c r="AA24" s="50">
        <v>1</v>
      </c>
      <c r="AB24" s="50">
        <v>1</v>
      </c>
      <c r="AC24" s="50">
        <v>1</v>
      </c>
    </row>
    <row r="25" spans="1:29" s="101" customFormat="1" ht="41.4">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5"/>
      <c r="M25" s="2437"/>
      <c r="N25" s="2437"/>
      <c r="O25" s="2537"/>
      <c r="P25" s="3457"/>
      <c r="Q25" s="528" t="str">
        <f>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5"/>
      <c r="M26" s="2437"/>
      <c r="N26" s="2437"/>
      <c r="O26" s="2537"/>
      <c r="P26" s="3457"/>
      <c r="Q26" s="528"/>
      <c r="R26" s="662"/>
      <c r="S26" s="663"/>
      <c r="T26" s="662"/>
      <c r="U26" s="663"/>
      <c r="V26" s="662"/>
      <c r="W26" s="663"/>
      <c r="X26" s="664"/>
      <c r="Y26" s="3457"/>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457"/>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457"/>
      <c r="Z27" s="1261" t="str">
        <f t="shared" ref="Z27:Z40" si="12">Q27</f>
        <v>临街状况</v>
      </c>
      <c r="AA27" s="1261">
        <f t="shared" si="3"/>
        <v>1</v>
      </c>
      <c r="AB27" s="1261">
        <f t="shared" si="4"/>
        <v>1</v>
      </c>
      <c r="AC27" s="1261">
        <f t="shared" si="5"/>
        <v>1</v>
      </c>
    </row>
    <row r="28" spans="1:29" ht="28.8">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457"/>
      <c r="Q28" s="1260" t="str">
        <f t="shared" si="8"/>
        <v>毗邻道路的类型与等级</v>
      </c>
      <c r="R28" s="665" t="s">
        <v>14</v>
      </c>
      <c r="S28" s="666">
        <f t="shared" si="9"/>
        <v>100</v>
      </c>
      <c r="T28" s="665" t="s">
        <v>14</v>
      </c>
      <c r="U28" s="666">
        <f t="shared" si="10"/>
        <v>100</v>
      </c>
      <c r="V28" s="665" t="s">
        <v>14</v>
      </c>
      <c r="W28" s="666">
        <f t="shared" si="11"/>
        <v>100</v>
      </c>
      <c r="X28" s="1262"/>
      <c r="Y28" s="3457"/>
      <c r="Z28" s="1261" t="str">
        <f t="shared" si="12"/>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9"/>
      <c r="M29" s="2484"/>
      <c r="N29" s="2484"/>
      <c r="O29" s="2539"/>
      <c r="P29" s="3457"/>
      <c r="Q29" s="1260"/>
      <c r="R29" s="665"/>
      <c r="S29" s="666"/>
      <c r="T29" s="665"/>
      <c r="U29" s="666"/>
      <c r="V29" s="665"/>
      <c r="W29" s="666"/>
      <c r="X29" s="1262"/>
      <c r="Y29" s="3457"/>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457"/>
      <c r="Q30" s="1260" t="str">
        <f t="shared" si="8"/>
        <v>土地级别</v>
      </c>
      <c r="R30" s="665" t="s">
        <v>14</v>
      </c>
      <c r="S30" s="666">
        <f t="shared" si="9"/>
        <v>100</v>
      </c>
      <c r="T30" s="665" t="s">
        <v>14</v>
      </c>
      <c r="U30" s="666">
        <f t="shared" si="10"/>
        <v>100</v>
      </c>
      <c r="V30" s="665" t="s">
        <v>14</v>
      </c>
      <c r="W30" s="666">
        <f t="shared" si="11"/>
        <v>100</v>
      </c>
      <c r="X30" s="1262"/>
      <c r="Y30" s="3457"/>
      <c r="Z30" s="1261" t="str">
        <f t="shared" si="12"/>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457"/>
      <c r="Q31" s="1260">
        <f t="shared" si="8"/>
        <v>111</v>
      </c>
      <c r="R31" s="665" t="s">
        <v>14</v>
      </c>
      <c r="S31" s="666">
        <f t="shared" si="9"/>
        <v>100</v>
      </c>
      <c r="T31" s="665" t="s">
        <v>14</v>
      </c>
      <c r="U31" s="666">
        <f t="shared" si="10"/>
        <v>100</v>
      </c>
      <c r="V31" s="665" t="s">
        <v>14</v>
      </c>
      <c r="W31" s="666">
        <f t="shared" si="11"/>
        <v>100</v>
      </c>
      <c r="X31" s="1262"/>
      <c r="Y31" s="3457"/>
      <c r="Z31" s="1261">
        <f t="shared" si="12"/>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480" t="s">
        <v>1696</v>
      </c>
      <c r="Q32" s="1260">
        <f t="shared" si="8"/>
        <v>111</v>
      </c>
      <c r="R32" s="665" t="s">
        <v>14</v>
      </c>
      <c r="S32" s="666">
        <f t="shared" si="9"/>
        <v>100</v>
      </c>
      <c r="T32" s="665" t="s">
        <v>14</v>
      </c>
      <c r="U32" s="666">
        <f t="shared" si="10"/>
        <v>100</v>
      </c>
      <c r="V32" s="665" t="s">
        <v>14</v>
      </c>
      <c r="W32" s="666">
        <f t="shared" si="11"/>
        <v>100</v>
      </c>
      <c r="X32" s="1262"/>
      <c r="Y32" s="3461" t="s">
        <v>1696</v>
      </c>
      <c r="Z32" s="1261">
        <f t="shared" si="12"/>
        <v>111</v>
      </c>
      <c r="AA32" s="1261">
        <f t="shared" si="3"/>
        <v>1</v>
      </c>
      <c r="AB32" s="1261">
        <f t="shared" si="4"/>
        <v>1</v>
      </c>
      <c r="AC32" s="1261">
        <f t="shared" si="5"/>
        <v>1</v>
      </c>
    </row>
    <row r="33" spans="1:31" s="406" customFormat="1" ht="15.6"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461"/>
      <c r="Q33" s="1260">
        <f t="shared" si="8"/>
        <v>111</v>
      </c>
      <c r="R33" s="667" t="s">
        <v>14</v>
      </c>
      <c r="S33" s="668">
        <f t="shared" si="9"/>
        <v>100</v>
      </c>
      <c r="T33" s="667" t="s">
        <v>14</v>
      </c>
      <c r="U33" s="668">
        <f t="shared" si="10"/>
        <v>100</v>
      </c>
      <c r="V33" s="667" t="s">
        <v>14</v>
      </c>
      <c r="W33" s="668">
        <f t="shared" si="11"/>
        <v>100</v>
      </c>
      <c r="X33" s="669"/>
      <c r="Y33" s="3461"/>
      <c r="Z33" s="670">
        <f t="shared" si="12"/>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461"/>
      <c r="Q34" s="1260" t="str">
        <f>B34</f>
        <v>宗地面积</v>
      </c>
      <c r="R34" s="665" t="s">
        <v>14</v>
      </c>
      <c r="S34" s="666" t="e">
        <f t="shared" si="9"/>
        <v>#N/A</v>
      </c>
      <c r="T34" s="665" t="s">
        <v>14</v>
      </c>
      <c r="U34" s="666" t="e">
        <f t="shared" si="10"/>
        <v>#N/A</v>
      </c>
      <c r="V34" s="665" t="s">
        <v>14</v>
      </c>
      <c r="W34" s="666" t="e">
        <f t="shared" si="11"/>
        <v>#N/A</v>
      </c>
      <c r="X34" s="1262"/>
      <c r="Y34" s="3461"/>
      <c r="Z34" s="1261" t="str">
        <f t="shared" si="12"/>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9"/>
      <c r="M35" s="2484"/>
      <c r="N35" s="2484"/>
      <c r="O35" s="2539"/>
      <c r="P35" s="3461"/>
      <c r="Q35" s="1260" t="str">
        <f t="shared" ref="Q35:Q40" si="13">B35</f>
        <v>宗地形状</v>
      </c>
      <c r="R35" s="665" t="s">
        <v>14</v>
      </c>
      <c r="S35" s="666">
        <f t="shared" si="9"/>
        <v>100</v>
      </c>
      <c r="T35" s="665" t="s">
        <v>14</v>
      </c>
      <c r="U35" s="666">
        <f t="shared" si="10"/>
        <v>100</v>
      </c>
      <c r="V35" s="665" t="s">
        <v>14</v>
      </c>
      <c r="W35" s="666">
        <f t="shared" si="11"/>
        <v>100</v>
      </c>
      <c r="X35" s="1262"/>
      <c r="Y35" s="3461"/>
      <c r="Z35" s="1261" t="str">
        <f t="shared" si="12"/>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5"/>
      <c r="M36" s="2437"/>
      <c r="N36" s="2437"/>
      <c r="O36" s="2537"/>
      <c r="P36" s="3461"/>
      <c r="Q36" s="1260" t="str">
        <f t="shared" si="13"/>
        <v>宗地开发程度</v>
      </c>
      <c r="R36" s="662" t="s">
        <v>14</v>
      </c>
      <c r="S36" s="663">
        <f t="shared" si="9"/>
        <v>100</v>
      </c>
      <c r="T36" s="662" t="s">
        <v>14</v>
      </c>
      <c r="U36" s="663">
        <f t="shared" si="10"/>
        <v>100</v>
      </c>
      <c r="V36" s="662" t="s">
        <v>14</v>
      </c>
      <c r="W36" s="663">
        <f t="shared" si="11"/>
        <v>100</v>
      </c>
      <c r="X36" s="664"/>
      <c r="Y36" s="3461"/>
      <c r="Z36" s="50" t="str">
        <f t="shared" si="12"/>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9"/>
      <c r="M37" s="2484"/>
      <c r="N37" s="2484"/>
      <c r="O37" s="2539"/>
      <c r="P37" s="3461" t="s">
        <v>1696</v>
      </c>
      <c r="Q37" s="1260" t="str">
        <f t="shared" si="13"/>
        <v>工程地质条件</v>
      </c>
      <c r="R37" s="665" t="s">
        <v>14</v>
      </c>
      <c r="S37" s="666">
        <f t="shared" si="9"/>
        <v>100</v>
      </c>
      <c r="T37" s="665" t="s">
        <v>14</v>
      </c>
      <c r="U37" s="666">
        <f t="shared" si="10"/>
        <v>100</v>
      </c>
      <c r="V37" s="665" t="s">
        <v>14</v>
      </c>
      <c r="W37" s="666">
        <f t="shared" si="11"/>
        <v>100</v>
      </c>
      <c r="X37" s="1262"/>
      <c r="Y37" s="3461" t="s">
        <v>1696</v>
      </c>
      <c r="Z37" s="1261" t="str">
        <f t="shared" si="12"/>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461"/>
      <c r="Q38" s="1260">
        <f t="shared" si="13"/>
        <v>111</v>
      </c>
      <c r="R38" s="665" t="s">
        <v>14</v>
      </c>
      <c r="S38" s="666">
        <f t="shared" si="9"/>
        <v>100</v>
      </c>
      <c r="T38" s="665" t="s">
        <v>14</v>
      </c>
      <c r="U38" s="666">
        <f t="shared" si="10"/>
        <v>100</v>
      </c>
      <c r="V38" s="665" t="s">
        <v>14</v>
      </c>
      <c r="W38" s="666">
        <f t="shared" si="11"/>
        <v>100</v>
      </c>
      <c r="X38" s="1262"/>
      <c r="Y38" s="3461"/>
      <c r="Z38" s="1261">
        <f t="shared" si="12"/>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461"/>
      <c r="Q39" s="1260">
        <f t="shared" si="13"/>
        <v>111</v>
      </c>
      <c r="R39" s="665" t="s">
        <v>14</v>
      </c>
      <c r="S39" s="666">
        <f t="shared" si="9"/>
        <v>100</v>
      </c>
      <c r="T39" s="665" t="s">
        <v>14</v>
      </c>
      <c r="U39" s="666">
        <f t="shared" si="10"/>
        <v>100</v>
      </c>
      <c r="V39" s="665" t="s">
        <v>14</v>
      </c>
      <c r="W39" s="666">
        <f t="shared" si="11"/>
        <v>100</v>
      </c>
      <c r="X39" s="1262"/>
      <c r="Y39" s="3461"/>
      <c r="Z39" s="1261">
        <f t="shared" si="12"/>
        <v>111</v>
      </c>
      <c r="AA39" s="1261">
        <f t="shared" si="3"/>
        <v>1</v>
      </c>
      <c r="AB39" s="1261">
        <f t="shared" si="4"/>
        <v>1</v>
      </c>
      <c r="AC39" s="1261">
        <f t="shared" si="5"/>
        <v>1</v>
      </c>
    </row>
    <row r="40" spans="1:31" s="406" customFormat="1" ht="15.6"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461"/>
      <c r="Q40" s="1260">
        <f t="shared" si="13"/>
        <v>111</v>
      </c>
      <c r="R40" s="667" t="s">
        <v>14</v>
      </c>
      <c r="S40" s="668">
        <f t="shared" si="9"/>
        <v>100</v>
      </c>
      <c r="T40" s="667" t="s">
        <v>14</v>
      </c>
      <c r="U40" s="668">
        <f t="shared" si="10"/>
        <v>100</v>
      </c>
      <c r="V40" s="667" t="s">
        <v>14</v>
      </c>
      <c r="W40" s="668">
        <f t="shared" si="11"/>
        <v>100</v>
      </c>
      <c r="X40" s="669"/>
      <c r="Y40" s="3461"/>
      <c r="Z40" s="670">
        <f t="shared" si="12"/>
        <v>111</v>
      </c>
      <c r="AA40" s="1261">
        <f t="shared" si="3"/>
        <v>1</v>
      </c>
      <c r="AB40" s="1261">
        <f t="shared" si="4"/>
        <v>1</v>
      </c>
      <c r="AC40" s="1261">
        <f t="shared" si="5"/>
        <v>1</v>
      </c>
    </row>
    <row r="41" spans="1:31" ht="14.4">
      <c r="A41" s="414" t="s">
        <v>1844</v>
      </c>
      <c r="B41" s="1827" t="s">
        <v>1922</v>
      </c>
      <c r="C41" s="600" t="s">
        <v>0</v>
      </c>
      <c r="D41" s="416"/>
      <c r="E41" s="417"/>
      <c r="F41" s="418"/>
      <c r="G41" s="419"/>
      <c r="H41" s="420"/>
      <c r="I41" s="417"/>
      <c r="J41" s="420"/>
      <c r="K41" s="672"/>
      <c r="L41" s="2491"/>
      <c r="M41" s="2484"/>
      <c r="N41" s="2484"/>
      <c r="O41" s="2484"/>
      <c r="P41" s="3455" t="str">
        <f>A41</f>
        <v>成交单价</v>
      </c>
      <c r="Q41" s="3455"/>
      <c r="R41" s="3450">
        <f>E41</f>
        <v>0</v>
      </c>
      <c r="S41" s="3450"/>
      <c r="T41" s="3450">
        <f>G41</f>
        <v>0</v>
      </c>
      <c r="U41" s="3450"/>
      <c r="V41" s="3450">
        <f>I41</f>
        <v>0</v>
      </c>
      <c r="W41" s="3450"/>
      <c r="X41" s="383"/>
      <c r="Y41" s="671"/>
      <c r="Z41" s="383"/>
      <c r="AA41" s="383"/>
      <c r="AB41" s="383"/>
      <c r="AC41" s="383"/>
    </row>
    <row r="42" spans="1:31" ht="15" thickBot="1">
      <c r="A42" s="421" t="s">
        <v>1793</v>
      </c>
      <c r="B42" s="601"/>
      <c r="C42" s="424" t="e">
        <f>R43</f>
        <v>#DIV/0!</v>
      </c>
      <c r="D42" s="2138" t="s">
        <v>2138</v>
      </c>
      <c r="E42" s="424" t="e">
        <f>R42</f>
        <v>#DIV/0!</v>
      </c>
      <c r="F42" s="2139"/>
      <c r="G42" s="423" t="e">
        <f>T42</f>
        <v>#DIV/0!</v>
      </c>
      <c r="H42" s="2139"/>
      <c r="I42" s="424" t="e">
        <f>V42</f>
        <v>#DIV/0!</v>
      </c>
      <c r="J42" s="2139"/>
      <c r="K42" s="2141">
        <f>F42+H42+J42</f>
        <v>0</v>
      </c>
      <c r="L42" s="2491"/>
      <c r="M42" s="2484"/>
      <c r="N42" s="2484"/>
      <c r="O42" s="2484"/>
      <c r="P42" s="3455" t="str">
        <f>A42</f>
        <v>比较价值（元/平方米）</v>
      </c>
      <c r="Q42" s="3455"/>
      <c r="R42" s="3482" t="e">
        <f>ROUND(PRODUCT(R41,AA7:AA40),0)</f>
        <v>#DIV/0!</v>
      </c>
      <c r="S42" s="3482"/>
      <c r="T42" s="3482" t="e">
        <f>ROUND(PRODUCT(T41,AB7:AB40),0)</f>
        <v>#DIV/0!</v>
      </c>
      <c r="U42" s="3482"/>
      <c r="V42" s="3482" t="e">
        <f>ROUND(PRODUCT(V41,AC7:AC40),0)</f>
        <v>#DIV/0!</v>
      </c>
      <c r="W42" s="3482"/>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1"/>
      <c r="M43" s="2484"/>
      <c r="N43" s="2484"/>
      <c r="O43" s="2484"/>
      <c r="P43" s="3452" t="str">
        <f>A43</f>
        <v>估价对象XX用房的比较价值（楼面单价，元/平方米）</v>
      </c>
      <c r="Q43" s="3453"/>
      <c r="R43" s="3483" t="e">
        <f>ROUND(IF(D42="简单平均",AVERAGE(R42:W42),R42*F42+T42*H42+V42*J42),0)</f>
        <v>#DIV/0!</v>
      </c>
      <c r="S43" s="3483"/>
      <c r="T43" s="3483"/>
      <c r="U43" s="3483"/>
      <c r="V43" s="3483"/>
      <c r="W43" s="3483"/>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4.4"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2" t="s">
        <v>1881</v>
      </c>
      <c r="B50" s="603" t="s">
        <v>1882</v>
      </c>
      <c r="C50" s="1828" t="s">
        <v>1883</v>
      </c>
      <c r="D50" s="1829" t="s">
        <v>1884</v>
      </c>
      <c r="E50" s="604" t="s">
        <v>1885</v>
      </c>
      <c r="F50" s="605" t="s">
        <v>1886</v>
      </c>
      <c r="G50" s="3438" t="s">
        <v>1887</v>
      </c>
      <c r="H50" s="3484"/>
      <c r="I50" s="1261" t="s">
        <v>1923</v>
      </c>
      <c r="J50" s="1261">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1890</v>
      </c>
      <c r="B51" s="607" t="e">
        <f>C43</f>
        <v>#DIV/0!</v>
      </c>
      <c r="C51" s="608">
        <v>1</v>
      </c>
      <c r="D51" s="887">
        <v>1</v>
      </c>
      <c r="E51" s="608">
        <f>'数据-汇总表'!E8+'数据-汇总表'!E9</f>
        <v>1316.46</v>
      </c>
      <c r="F51" s="609" t="e">
        <f t="shared" ref="F51:F60" si="14">ROUND(B51*E51/10000,0)</f>
        <v>#DIV/0!</v>
      </c>
      <c r="G51" s="3437"/>
      <c r="H51" s="3455"/>
      <c r="I51" s="724">
        <v>1</v>
      </c>
      <c r="J51" s="724">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1891</v>
      </c>
      <c r="B52" s="208" t="e">
        <f>ROUND($C$43*C52*D52,0)</f>
        <v>#DIV/0!</v>
      </c>
      <c r="C52" s="161">
        <f t="shared" ref="C52:C60" si="15">IF($C$50="北京市系数",I52,J52)</f>
        <v>0.7</v>
      </c>
      <c r="D52" s="888">
        <v>0.25</v>
      </c>
      <c r="E52" s="612"/>
      <c r="F52" s="609" t="e">
        <f t="shared" si="14"/>
        <v>#DIV/0!</v>
      </c>
      <c r="G52" s="2747" t="s">
        <v>1892</v>
      </c>
      <c r="H52" s="831" t="str">
        <f>项目基本情况!B37</f>
        <v>一级</v>
      </c>
      <c r="I52" s="724">
        <f>SUMIF(修正!A57:A68,H52,修正!B57:B68)</f>
        <v>0.7</v>
      </c>
      <c r="J52" s="725"/>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1893</v>
      </c>
      <c r="B53" s="208" t="e">
        <f t="shared" ref="B53:B60" si="16">ROUND($C$43*C53*D53,0)</f>
        <v>#DIV/0!</v>
      </c>
      <c r="C53" s="161">
        <f t="shared" si="15"/>
        <v>0.4</v>
      </c>
      <c r="D53" s="888">
        <v>0.25</v>
      </c>
      <c r="E53" s="612"/>
      <c r="F53" s="609" t="e">
        <f t="shared" si="14"/>
        <v>#DIV/0!</v>
      </c>
      <c r="G53" s="2748"/>
      <c r="H53" s="831" t="str">
        <f>项目基本情况!B37</f>
        <v>一级</v>
      </c>
      <c r="I53" s="724">
        <f>SUMIF(修正!A57:A68,H53,修正!C57:C68)</f>
        <v>0.4</v>
      </c>
      <c r="J53" s="725"/>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1894</v>
      </c>
      <c r="B54" s="208" t="e">
        <f t="shared" si="16"/>
        <v>#DIV/0!</v>
      </c>
      <c r="C54" s="161">
        <f t="shared" si="15"/>
        <v>0.3</v>
      </c>
      <c r="D54" s="888">
        <v>0.25</v>
      </c>
      <c r="E54" s="612"/>
      <c r="F54" s="609" t="e">
        <f t="shared" si="14"/>
        <v>#DIV/0!</v>
      </c>
      <c r="G54" s="2748"/>
      <c r="H54" s="831" t="str">
        <f>项目基本情况!B37</f>
        <v>一级</v>
      </c>
      <c r="I54" s="724">
        <f>SUMIF(修正!A57:A68,H54,修正!D57:D68)</f>
        <v>0.3</v>
      </c>
      <c r="J54" s="725"/>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8"/>
      <c r="E55" s="612"/>
      <c r="F55" s="609"/>
      <c r="G55" s="2749"/>
      <c r="H55" s="831"/>
      <c r="I55" s="724"/>
      <c r="J55" s="725"/>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1895</v>
      </c>
      <c r="B56" s="208" t="e">
        <f t="shared" si="16"/>
        <v>#DIV/0!</v>
      </c>
      <c r="C56" s="161">
        <f t="shared" si="15"/>
        <v>0.3</v>
      </c>
      <c r="D56" s="888">
        <v>0.25</v>
      </c>
      <c r="E56" s="207">
        <f>'数据-汇总表'!E11</f>
        <v>0</v>
      </c>
      <c r="F56" s="609" t="e">
        <f t="shared" si="14"/>
        <v>#DIV/0!</v>
      </c>
      <c r="G56" s="1832" t="s">
        <v>1896</v>
      </c>
      <c r="H56" s="831" t="str">
        <f>项目基本情况!C37</f>
        <v>一级</v>
      </c>
      <c r="I56" s="724">
        <f>SUMIF(修正!A57:A68,H56,修正!E57:E68)</f>
        <v>0.3</v>
      </c>
      <c r="J56" s="725"/>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1897</v>
      </c>
      <c r="B57" s="208" t="e">
        <f t="shared" si="16"/>
        <v>#DIV/0!</v>
      </c>
      <c r="C57" s="161">
        <f t="shared" si="15"/>
        <v>0.3</v>
      </c>
      <c r="D57" s="888">
        <v>0.25</v>
      </c>
      <c r="E57" s="207">
        <f>'数据-汇总表'!E12</f>
        <v>0</v>
      </c>
      <c r="F57" s="609" t="e">
        <f t="shared" si="14"/>
        <v>#DIV/0!</v>
      </c>
      <c r="G57" s="836" t="s">
        <v>1898</v>
      </c>
      <c r="H57" s="831" t="str">
        <f>IF(G57="商业",项目基本情况!B37,IF(G57="办公",项目基本情况!C37,IF(G57="住宅",项目基本情况!D37,项目基本情况!E37)))</f>
        <v>一级</v>
      </c>
      <c r="I57" s="724">
        <f>SUMIF(修正!A57:A68,H57,修正!F57:F68)</f>
        <v>0.3</v>
      </c>
      <c r="J57" s="725"/>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1899</v>
      </c>
      <c r="B58" s="208" t="e">
        <f t="shared" si="16"/>
        <v>#DIV/0!</v>
      </c>
      <c r="C58" s="161">
        <f t="shared" si="15"/>
        <v>0</v>
      </c>
      <c r="D58" s="888">
        <v>0.25</v>
      </c>
      <c r="E58" s="207">
        <f>'数据-汇总表'!E13</f>
        <v>16503.550000000097</v>
      </c>
      <c r="F58" s="609" t="e">
        <f t="shared" si="14"/>
        <v>#DIV/0!</v>
      </c>
      <c r="G58" s="836" t="s">
        <v>1900</v>
      </c>
      <c r="H58" s="831">
        <f>IF(G58="商业",项目基本情况!B37,IF(G58="办公",项目基本情况!C37,IF(G58="住宅",项目基本情况!D37,项目基本情况!E37)))</f>
        <v>0</v>
      </c>
      <c r="I58" s="724">
        <f>SUMIF(修正!A57:A68,H58,修正!G57:G68)</f>
        <v>0</v>
      </c>
      <c r="J58" s="725"/>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1901</v>
      </c>
      <c r="B59" s="208" t="e">
        <f t="shared" si="16"/>
        <v>#DIV/0!</v>
      </c>
      <c r="C59" s="161">
        <f t="shared" si="15"/>
        <v>0.2</v>
      </c>
      <c r="D59" s="888">
        <v>0.25</v>
      </c>
      <c r="E59" s="207">
        <f>'数据-汇总表'!E14</f>
        <v>0</v>
      </c>
      <c r="F59" s="609" t="e">
        <f t="shared" si="14"/>
        <v>#DIV/0!</v>
      </c>
      <c r="G59" s="1832" t="s">
        <v>1892</v>
      </c>
      <c r="H59" s="831" t="str">
        <f>项目基本情况!B37</f>
        <v>一级</v>
      </c>
      <c r="I59" s="724">
        <f>SUMIF(修正!A57:A68,H59,修正!G57:G68)</f>
        <v>0.2</v>
      </c>
      <c r="J59" s="725"/>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4.4" thickBot="1">
      <c r="A60" s="611" t="s">
        <v>1902</v>
      </c>
      <c r="B60" s="208" t="e">
        <f t="shared" si="16"/>
        <v>#DIV/0!</v>
      </c>
      <c r="C60" s="161">
        <f t="shared" si="15"/>
        <v>0.2</v>
      </c>
      <c r="D60" s="888">
        <v>0.25</v>
      </c>
      <c r="E60" s="207">
        <f>'数据-汇总表'!E15</f>
        <v>0</v>
      </c>
      <c r="F60" s="609" t="e">
        <f t="shared" si="14"/>
        <v>#DIV/0!</v>
      </c>
      <c r="G60" s="1833" t="s">
        <v>1896</v>
      </c>
      <c r="H60" s="841" t="str">
        <f>项目基本情况!C37</f>
        <v>一级</v>
      </c>
      <c r="I60" s="724">
        <f>SUMIF(修正!A57:A68,H60,修正!G57:G68)</f>
        <v>0.2</v>
      </c>
      <c r="J60" s="725"/>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8"/>
      <c r="B62" s="872"/>
      <c r="C62" s="874"/>
      <c r="D62" s="858"/>
      <c r="E62" s="858"/>
      <c r="F62" s="858"/>
      <c r="G62" s="858"/>
      <c r="H62" s="858"/>
      <c r="I62" s="858"/>
      <c r="J62" s="858"/>
      <c r="K62" s="832"/>
      <c r="L62" s="833"/>
      <c r="M62" s="858"/>
      <c r="N62" s="858"/>
      <c r="O62" s="858"/>
      <c r="P62" s="2484"/>
      <c r="Q62" s="2484"/>
      <c r="R62" s="2484"/>
      <c r="S62" s="2484"/>
      <c r="T62" s="2484"/>
      <c r="U62" s="2484"/>
      <c r="V62" s="2484"/>
      <c r="W62" s="2484"/>
      <c r="X62" s="2484"/>
      <c r="Y62" s="2484"/>
      <c r="Z62" s="2484"/>
      <c r="AA62" s="2484"/>
      <c r="AB62" s="2484"/>
      <c r="AC62" s="2484"/>
      <c r="AD62" s="2484"/>
      <c r="AE62" s="2484"/>
    </row>
    <row r="63" spans="1:31">
      <c r="A63" s="858"/>
      <c r="B63" s="872"/>
      <c r="C63" s="654" t="str">
        <f>YEAR(C7)&amp;"-"&amp;MONTH(C7)&amp;"-1"</f>
        <v>2025-4-1</v>
      </c>
      <c r="D63" s="654">
        <f>EDATE(C63,-3)</f>
        <v>45658</v>
      </c>
      <c r="E63" s="654">
        <f>EDATE(D63,-3)</f>
        <v>45566</v>
      </c>
      <c r="F63" s="654">
        <f t="shared" ref="F63:O63" si="17">EDATE(E63,-3)</f>
        <v>45474</v>
      </c>
      <c r="G63" s="654">
        <f t="shared" si="17"/>
        <v>45383</v>
      </c>
      <c r="H63" s="654">
        <f t="shared" si="17"/>
        <v>45292</v>
      </c>
      <c r="I63" s="654">
        <f t="shared" si="17"/>
        <v>45200</v>
      </c>
      <c r="J63" s="654">
        <f t="shared" si="17"/>
        <v>45108</v>
      </c>
      <c r="K63" s="654">
        <f t="shared" si="17"/>
        <v>45017</v>
      </c>
      <c r="L63" s="654">
        <f t="shared" si="17"/>
        <v>44927</v>
      </c>
      <c r="M63" s="654">
        <f t="shared" si="17"/>
        <v>44835</v>
      </c>
      <c r="N63" s="654">
        <f t="shared" si="17"/>
        <v>44743</v>
      </c>
      <c r="O63" s="654">
        <f t="shared" si="17"/>
        <v>44652</v>
      </c>
      <c r="P63" s="2484"/>
      <c r="Q63" s="2484"/>
      <c r="R63" s="2484"/>
      <c r="S63" s="2484"/>
      <c r="T63" s="2484"/>
      <c r="U63" s="2484"/>
      <c r="V63" s="2484"/>
      <c r="W63" s="2484"/>
      <c r="X63" s="2484"/>
      <c r="Y63" s="2484"/>
      <c r="Z63" s="2484"/>
      <c r="AA63" s="2484"/>
      <c r="AB63" s="2484"/>
      <c r="AC63" s="2484"/>
      <c r="AD63" s="2484"/>
      <c r="AE63" s="2484"/>
    </row>
    <row r="64" spans="1:31" ht="22.2" thickBot="1">
      <c r="A64" s="656" t="s">
        <v>1798</v>
      </c>
      <c r="B64" s="383"/>
      <c r="C64" s="657"/>
      <c r="D64" s="657"/>
      <c r="E64" s="657"/>
      <c r="F64" s="658"/>
      <c r="G64" s="658"/>
      <c r="H64" s="657"/>
      <c r="I64" s="657"/>
      <c r="J64" s="657"/>
      <c r="K64" s="659"/>
      <c r="L64" s="660"/>
      <c r="M64" s="657"/>
      <c r="N64" s="657"/>
      <c r="O64" s="883"/>
      <c r="P64" s="2534"/>
      <c r="Q64" s="2505"/>
      <c r="R64" s="2484"/>
      <c r="S64" s="2484"/>
      <c r="T64" s="2484"/>
      <c r="U64" s="2484"/>
      <c r="V64" s="2484"/>
      <c r="W64" s="2484"/>
      <c r="X64" s="2484"/>
      <c r="Y64" s="2484"/>
      <c r="Z64" s="2484"/>
      <c r="AA64" s="2484"/>
      <c r="AB64" s="2484"/>
      <c r="AC64" s="2484"/>
      <c r="AD64" s="2484"/>
      <c r="AE64" s="2484"/>
    </row>
    <row r="65" spans="1:31" s="440" customFormat="1" ht="14.4">
      <c r="A65" s="1627" t="s">
        <v>1904</v>
      </c>
      <c r="B65" s="1043"/>
      <c r="C65" s="1098" t="str">
        <f>YEAR(C63)&amp;"-"&amp;ROUNDUP(MONTH(C63)/3,0)</f>
        <v>2025-2</v>
      </c>
      <c r="D65" s="1098" t="str">
        <f t="shared" ref="D65:O65" si="18">YEAR(D63)&amp;"-"&amp;ROUNDUP(MONTH(D63)/3,0)</f>
        <v>2025-1</v>
      </c>
      <c r="E65" s="1098" t="str">
        <f t="shared" si="18"/>
        <v>2024-4</v>
      </c>
      <c r="F65" s="1098" t="str">
        <f t="shared" si="18"/>
        <v>2024-3</v>
      </c>
      <c r="G65" s="1098" t="str">
        <f t="shared" si="18"/>
        <v>2024-2</v>
      </c>
      <c r="H65" s="1098" t="str">
        <f t="shared" si="18"/>
        <v>2024-1</v>
      </c>
      <c r="I65" s="1098" t="str">
        <f t="shared" si="18"/>
        <v>2023-4</v>
      </c>
      <c r="J65" s="1098" t="str">
        <f t="shared" si="18"/>
        <v>2023-3</v>
      </c>
      <c r="K65" s="1098" t="str">
        <f t="shared" si="18"/>
        <v>2023-2</v>
      </c>
      <c r="L65" s="1098" t="str">
        <f t="shared" si="18"/>
        <v>2023-1</v>
      </c>
      <c r="M65" s="1098" t="str">
        <f t="shared" si="18"/>
        <v>2022-4</v>
      </c>
      <c r="N65" s="1098" t="str">
        <f t="shared" si="18"/>
        <v>2022-3</v>
      </c>
      <c r="O65" s="1098" t="str">
        <f t="shared" si="18"/>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5"/>
      <c r="Q66" s="2437"/>
      <c r="R66" s="2437"/>
      <c r="S66" s="2437"/>
      <c r="T66" s="2437"/>
      <c r="U66" s="2437"/>
      <c r="V66" s="2437"/>
      <c r="W66" s="2437"/>
      <c r="X66" s="2437"/>
      <c r="Y66" s="2437"/>
      <c r="Z66" s="2437"/>
      <c r="AA66" s="2437"/>
      <c r="AB66" s="2437"/>
      <c r="AC66" s="2437"/>
      <c r="AD66" s="2437"/>
      <c r="AE66" s="2437"/>
    </row>
    <row r="67" spans="1:31" s="101" customFormat="1" ht="15" thickBot="1">
      <c r="A67" s="447" t="s">
        <v>1716</v>
      </c>
      <c r="B67" s="448"/>
      <c r="C67" s="449"/>
      <c r="D67" s="450"/>
      <c r="E67" s="450"/>
      <c r="F67" s="450"/>
      <c r="G67" s="450"/>
      <c r="H67" s="450"/>
      <c r="I67" s="450"/>
      <c r="J67" s="450"/>
      <c r="K67" s="450"/>
      <c r="L67" s="450"/>
      <c r="M67" s="451"/>
      <c r="N67" s="451"/>
      <c r="O67" s="452"/>
      <c r="P67" s="2505"/>
      <c r="Q67" s="2505"/>
      <c r="R67" s="2437"/>
      <c r="S67" s="2437"/>
      <c r="T67" s="2437"/>
      <c r="U67" s="2437"/>
      <c r="V67" s="2437"/>
      <c r="W67" s="2437"/>
      <c r="X67" s="2437"/>
      <c r="Y67" s="2437"/>
      <c r="Z67" s="2437"/>
      <c r="AA67" s="2437"/>
      <c r="AB67" s="2437"/>
      <c r="AC67" s="2437"/>
      <c r="AD67" s="2437"/>
      <c r="AE67" s="2437"/>
    </row>
    <row r="68" spans="1:31" s="101" customFormat="1" ht="14.4">
      <c r="A68" s="453" t="s">
        <v>1681</v>
      </c>
      <c r="B68" s="442"/>
      <c r="C68" s="454" t="s">
        <v>1776</v>
      </c>
      <c r="D68" s="31"/>
      <c r="E68" s="31"/>
      <c r="F68" s="31"/>
      <c r="G68" s="31"/>
      <c r="H68" s="31"/>
      <c r="I68" s="31"/>
      <c r="J68" s="31"/>
      <c r="K68" s="31"/>
      <c r="L68" s="455"/>
      <c r="M68" s="456"/>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3"/>
      <c r="B69" s="442"/>
      <c r="C69" s="561">
        <v>100</v>
      </c>
      <c r="D69" s="444"/>
      <c r="E69" s="444"/>
      <c r="F69" s="444"/>
      <c r="G69" s="444"/>
      <c r="H69" s="444"/>
      <c r="I69" s="444"/>
      <c r="J69" s="444"/>
      <c r="K69" s="444"/>
      <c r="L69" s="444"/>
      <c r="M69" s="446"/>
      <c r="N69" s="2517"/>
      <c r="O69" s="2517"/>
      <c r="P69" s="2505"/>
      <c r="Q69" s="2505"/>
      <c r="R69" s="2437"/>
      <c r="S69" s="2437"/>
      <c r="T69" s="2437"/>
      <c r="U69" s="2437"/>
      <c r="V69" s="2437"/>
      <c r="W69" s="2437"/>
      <c r="X69" s="2437"/>
      <c r="Y69" s="2437"/>
      <c r="Z69" s="2437"/>
      <c r="AA69" s="2437"/>
      <c r="AB69" s="2437"/>
      <c r="AC69" s="2437"/>
      <c r="AD69" s="2437"/>
      <c r="AE69" s="2437"/>
    </row>
    <row r="70" spans="1:31" ht="14.4">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4.4"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4.4"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4.4"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4.4"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4.4"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4.4"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ht="14.4">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8"/>
      <c r="B87" s="467" t="s">
        <v>1907</v>
      </c>
      <c r="C87" s="502" t="s">
        <v>1721</v>
      </c>
      <c r="D87" s="502" t="s">
        <v>1722</v>
      </c>
      <c r="E87" s="502" t="s">
        <v>1723</v>
      </c>
      <c r="F87" s="502" t="s">
        <v>1724</v>
      </c>
      <c r="G87" s="502" t="s">
        <v>1725</v>
      </c>
      <c r="H87" s="507"/>
      <c r="I87" s="507"/>
      <c r="J87" s="507"/>
      <c r="K87" s="507"/>
      <c r="L87" s="616"/>
      <c r="M87" s="545"/>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8"/>
      <c r="B89" s="467" t="s">
        <v>1908</v>
      </c>
      <c r="C89" s="502" t="s">
        <v>1721</v>
      </c>
      <c r="D89" s="502" t="s">
        <v>1722</v>
      </c>
      <c r="E89" s="502" t="s">
        <v>1723</v>
      </c>
      <c r="F89" s="502" t="s">
        <v>1724</v>
      </c>
      <c r="G89" s="502" t="s">
        <v>1725</v>
      </c>
      <c r="H89" s="507"/>
      <c r="I89" s="507"/>
      <c r="J89" s="507"/>
      <c r="K89" s="507"/>
      <c r="L89" s="507"/>
      <c r="M89" s="545"/>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7"/>
      <c r="S90" s="2437"/>
      <c r="T90" s="2437"/>
      <c r="U90" s="2437"/>
      <c r="V90" s="2437"/>
      <c r="W90" s="2437"/>
      <c r="X90" s="2437"/>
      <c r="Y90" s="2437"/>
      <c r="Z90" s="2437"/>
      <c r="AA90" s="2437"/>
      <c r="AB90" s="2437"/>
      <c r="AC90" s="2437"/>
      <c r="AD90" s="2437"/>
      <c r="AE90" s="2437"/>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2"/>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5"/>
      <c r="B99" s="467" t="s">
        <v>1873</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4.4"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4.4"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7" t="s">
        <v>1694</v>
      </c>
      <c r="B107" s="458" t="s">
        <v>1913</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1914</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1916</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4.4"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1917</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4.4"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4.4"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1" priority="13" stopIfTrue="1">
      <formula>$F$46="超过30%"</formula>
    </cfRule>
  </conditionalFormatting>
  <conditionalFormatting sqref="E47">
    <cfRule type="expression" dxfId="10" priority="53" stopIfTrue="1">
      <formula>#REF!+$F$47="超过20%"</formula>
    </cfRule>
  </conditionalFormatting>
  <conditionalFormatting sqref="E48">
    <cfRule type="expression" dxfId="9" priority="10" stopIfTrue="1">
      <formula>$F$48="超过30%"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conditionalFormatting sqref="G46">
    <cfRule type="expression" dxfId="6" priority="9" stopIfTrue="1">
      <formula>$H$46="超过30%"</formula>
    </cfRule>
  </conditionalFormatting>
  <conditionalFormatting sqref="G47">
    <cfRule type="expression" dxfId="5" priority="8" stopIfTrue="1">
      <formula>$H$47="超过20%"</formula>
    </cfRule>
  </conditionalFormatting>
  <conditionalFormatting sqref="G48">
    <cfRule type="expression" dxfId="4" priority="12" stopIfTrue="1">
      <formula>$H$48="超过30%"</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92" t="s">
        <v>2084</v>
      </c>
      <c r="D1" s="3493"/>
      <c r="E1" s="3493"/>
      <c r="F1" s="3493"/>
      <c r="G1" s="3493"/>
      <c r="H1" s="3493"/>
      <c r="I1" s="3493"/>
      <c r="J1" s="3493"/>
      <c r="K1" s="3493"/>
      <c r="L1" s="3493"/>
      <c r="M1" s="3493"/>
      <c r="N1" s="3493"/>
      <c r="O1" s="3493"/>
      <c r="P1" s="3493"/>
      <c r="Q1" s="3493"/>
      <c r="R1" s="3493"/>
      <c r="S1" s="3494"/>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2"/>
      <c r="B6" s="843"/>
      <c r="C6" s="849">
        <v>100</v>
      </c>
      <c r="D6" s="846">
        <f>C6-$T5</f>
        <v>100</v>
      </c>
      <c r="E6" s="846">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2"/>
      <c r="B8" s="843"/>
      <c r="C8" s="849">
        <v>100</v>
      </c>
      <c r="D8" s="846">
        <f>C8-$T7</f>
        <v>100</v>
      </c>
      <c r="E8" s="846">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2"/>
      <c r="B10" s="931"/>
      <c r="C10" s="941">
        <v>100</v>
      </c>
      <c r="D10" s="712">
        <f>C10-$T9</f>
        <v>100</v>
      </c>
      <c r="E10" s="712">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2"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41"/>
      <c r="G1" s="2541"/>
      <c r="H1" s="2541"/>
      <c r="I1" s="2541"/>
      <c r="J1" s="2541"/>
      <c r="K1" s="2541"/>
      <c r="L1" s="2541"/>
      <c r="M1" s="2541"/>
      <c r="N1" s="2541"/>
      <c r="O1" s="2541"/>
      <c r="P1" s="2541"/>
    </row>
    <row r="2" spans="1:16" ht="15.6">
      <c r="A2" s="1981" t="s">
        <v>2073</v>
      </c>
      <c r="B2" s="2385">
        <f ca="1">SUMIF(B6:B13,"&lt;&gt;#ref!",B6:B13)</f>
        <v>18959</v>
      </c>
      <c r="C2" s="1981" t="s">
        <v>2074</v>
      </c>
      <c r="D2" s="1981" t="s">
        <v>2075</v>
      </c>
      <c r="E2" s="2395">
        <f ca="1">SUMIF(E6:E13,"&lt;&gt;#ref!",E6:E13)</f>
        <v>20633.450000000099</v>
      </c>
      <c r="F2" s="2541"/>
      <c r="G2" s="2541"/>
      <c r="H2" s="2541"/>
      <c r="I2" s="2541"/>
      <c r="J2" s="2541"/>
      <c r="K2" s="2541"/>
      <c r="L2" s="2541"/>
      <c r="M2" s="2541"/>
      <c r="N2" s="2541"/>
      <c r="O2" s="2541"/>
      <c r="P2" s="2541"/>
    </row>
    <row r="3" spans="1:16" ht="15.6">
      <c r="A3" s="1981" t="s">
        <v>2076</v>
      </c>
      <c r="B3" s="2385">
        <f ca="1">ROUND(B2*10000/E2,0)</f>
        <v>9188</v>
      </c>
      <c r="C3" s="1981"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2"/>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18959</v>
      </c>
      <c r="C6" s="1981" t="s">
        <v>2074</v>
      </c>
      <c r="D6" s="2541"/>
      <c r="E6" s="2395">
        <f ca="1">SUMIF(INDIRECT("'"&amp;A6&amp;"'"&amp;"!C:C"),"建筑面积",INDIRECT("'"&amp;A6&amp;"'"&amp;"!D:D"))</f>
        <v>20633.450000000099</v>
      </c>
      <c r="F6" s="2541"/>
      <c r="G6" s="2541"/>
      <c r="H6" s="2541"/>
      <c r="I6" s="2541"/>
      <c r="J6" s="2541"/>
      <c r="K6" s="2541"/>
      <c r="L6" s="2541"/>
      <c r="M6" s="2541"/>
      <c r="N6" s="2541"/>
      <c r="O6" s="2541"/>
      <c r="P6" s="2541"/>
    </row>
    <row r="7" spans="1:16" ht="15.6">
      <c r="A7" s="2392"/>
      <c r="B7" s="2385" t="e">
        <f ca="1">SUMIF(INDIRECT("'"&amp;A7&amp;"'"&amp;"!A:A"),"总价",INDIRECT("'"&amp;A7&amp;"'"&amp;"!B:B"))</f>
        <v>#REF!</v>
      </c>
      <c r="C7" s="1981"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1"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1"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1"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1"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1"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1"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SUM(J8:J15)-J13-J14</f>
        <v>185</v>
      </c>
      <c r="K17" s="2762">
        <f>SUM(K8:K15)-K13-K14</f>
        <v>185</v>
      </c>
      <c r="L17" s="2762">
        <f>SUM(L8:L15)-L13-L14</f>
        <v>185</v>
      </c>
      <c r="M17" s="2762">
        <f>SUM(M8:M15)-M13-M14</f>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502" t="s">
        <v>2603</v>
      </c>
      <c r="B20" s="3495" t="s">
        <v>2624</v>
      </c>
      <c r="C20" s="2839" t="s">
        <v>2435</v>
      </c>
      <c r="D20" s="2840"/>
      <c r="E20" s="2841">
        <v>1</v>
      </c>
      <c r="F20" s="2842" t="s">
        <v>2436</v>
      </c>
      <c r="G20" s="2842"/>
    </row>
    <row r="21" spans="1:13" ht="19.5" customHeight="1">
      <c r="A21" s="3503"/>
      <c r="B21" s="3496"/>
      <c r="C21" s="2843" t="s">
        <v>2437</v>
      </c>
      <c r="D21" s="2844"/>
      <c r="E21" s="2845">
        <v>1</v>
      </c>
      <c r="F21" s="2842" t="s">
        <v>2438</v>
      </c>
      <c r="G21" s="2842"/>
    </row>
    <row r="22" spans="1:13" ht="19.5" customHeight="1">
      <c r="A22" s="3503"/>
      <c r="B22" s="3496"/>
      <c r="C22" s="2843" t="s">
        <v>2439</v>
      </c>
      <c r="D22" s="2844"/>
      <c r="E22" s="2845">
        <v>0.9</v>
      </c>
      <c r="F22" s="2842" t="s">
        <v>2440</v>
      </c>
      <c r="G22" s="2842"/>
    </row>
    <row r="23" spans="1:13" ht="19.5" customHeight="1">
      <c r="A23" s="3503"/>
      <c r="B23" s="3496"/>
      <c r="C23" s="2843" t="s">
        <v>2441</v>
      </c>
      <c r="D23" s="2844"/>
      <c r="E23" s="2845">
        <v>0.9</v>
      </c>
      <c r="F23" s="2842" t="s">
        <v>2442</v>
      </c>
      <c r="G23" s="2842"/>
    </row>
    <row r="24" spans="1:13" ht="19.5" customHeight="1">
      <c r="A24" s="3503"/>
      <c r="B24" s="3496"/>
      <c r="C24" s="2843" t="s">
        <v>2443</v>
      </c>
      <c r="D24" s="2844"/>
      <c r="E24" s="2845">
        <v>0.8</v>
      </c>
      <c r="F24" s="2842" t="s">
        <v>2444</v>
      </c>
      <c r="G24" s="2842"/>
    </row>
    <row r="25" spans="1:13" ht="19.5" customHeight="1" thickBot="1">
      <c r="A25" s="3504"/>
      <c r="B25" s="3497"/>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98" t="s">
        <v>2627</v>
      </c>
      <c r="B27" s="3495" t="s">
        <v>2608</v>
      </c>
      <c r="C27" s="2839" t="s">
        <v>2448</v>
      </c>
      <c r="D27" s="2840"/>
      <c r="E27" s="2841">
        <v>1</v>
      </c>
      <c r="F27" s="2842" t="s">
        <v>2449</v>
      </c>
      <c r="G27" s="2842"/>
    </row>
    <row r="28" spans="1:13" ht="19.5" customHeight="1">
      <c r="A28" s="3499"/>
      <c r="B28" s="3496"/>
      <c r="C28" s="2843" t="s">
        <v>2450</v>
      </c>
      <c r="D28" s="2844"/>
      <c r="E28" s="2845">
        <v>1</v>
      </c>
      <c r="F28" s="2842" t="s">
        <v>2451</v>
      </c>
      <c r="G28" s="2842"/>
    </row>
    <row r="29" spans="1:13" ht="19.5" customHeight="1">
      <c r="A29" s="3499"/>
      <c r="B29" s="3496"/>
      <c r="C29" s="2843" t="s">
        <v>2452</v>
      </c>
      <c r="D29" s="2844"/>
      <c r="E29" s="2845">
        <v>0.8</v>
      </c>
      <c r="F29" s="2842" t="s">
        <v>2453</v>
      </c>
      <c r="G29" s="2842"/>
    </row>
    <row r="30" spans="1:13" ht="19.5" customHeight="1">
      <c r="A30" s="3499"/>
      <c r="B30" s="3496"/>
      <c r="C30" s="2843" t="s">
        <v>2454</v>
      </c>
      <c r="D30" s="2844"/>
      <c r="E30" s="2845">
        <v>0.8</v>
      </c>
      <c r="F30" s="2842" t="s">
        <v>2455</v>
      </c>
      <c r="G30" s="2842"/>
    </row>
    <row r="31" spans="1:13" ht="19.5" customHeight="1">
      <c r="A31" s="3499"/>
      <c r="B31" s="3496"/>
      <c r="C31" s="2843" t="s">
        <v>2456</v>
      </c>
      <c r="D31" s="2844"/>
      <c r="E31" s="2845">
        <v>0.8</v>
      </c>
      <c r="F31" s="2842" t="s">
        <v>2457</v>
      </c>
      <c r="G31" s="2842"/>
    </row>
    <row r="32" spans="1:13" ht="19.5" customHeight="1">
      <c r="A32" s="3499"/>
      <c r="B32" s="3496"/>
      <c r="C32" s="2843" t="s">
        <v>2458</v>
      </c>
      <c r="D32" s="2844"/>
      <c r="E32" s="2845">
        <v>0.7</v>
      </c>
      <c r="F32" s="2842" t="s">
        <v>2459</v>
      </c>
      <c r="G32" s="2842"/>
    </row>
    <row r="33" spans="1:7" ht="19.5" customHeight="1">
      <c r="A33" s="3499"/>
      <c r="B33" s="3496"/>
      <c r="C33" s="2843" t="s">
        <v>2460</v>
      </c>
      <c r="D33" s="2844"/>
      <c r="E33" s="2845">
        <v>0.8</v>
      </c>
      <c r="F33" s="2842" t="s">
        <v>2461</v>
      </c>
      <c r="G33" s="2842"/>
    </row>
    <row r="34" spans="1:7" ht="19.5" customHeight="1">
      <c r="A34" s="3499"/>
      <c r="B34" s="3496"/>
      <c r="C34" s="2843" t="s">
        <v>2462</v>
      </c>
      <c r="D34" s="2844"/>
      <c r="E34" s="2845">
        <v>0.6</v>
      </c>
      <c r="F34" s="2842" t="s">
        <v>2463</v>
      </c>
      <c r="G34" s="2842"/>
    </row>
    <row r="35" spans="1:7" ht="19.5" customHeight="1">
      <c r="A35" s="3499"/>
      <c r="B35" s="3496"/>
      <c r="C35" s="2843" t="s">
        <v>2464</v>
      </c>
      <c r="D35" s="2844"/>
      <c r="E35" s="2845">
        <v>0.2</v>
      </c>
      <c r="F35" s="2842" t="s">
        <v>2465</v>
      </c>
      <c r="G35" s="2842"/>
    </row>
    <row r="36" spans="1:7" ht="19.5" customHeight="1">
      <c r="A36" s="3499"/>
      <c r="B36" s="3496"/>
      <c r="C36" s="2843" t="s">
        <v>2466</v>
      </c>
      <c r="D36" s="2844"/>
      <c r="E36" s="2845">
        <v>0.2</v>
      </c>
      <c r="F36" s="2842" t="s">
        <v>2467</v>
      </c>
      <c r="G36" s="2842"/>
    </row>
    <row r="37" spans="1:7" ht="19.5" customHeight="1">
      <c r="A37" s="3499"/>
      <c r="B37" s="3501" t="s">
        <v>2628</v>
      </c>
      <c r="C37" s="2843" t="s">
        <v>2468</v>
      </c>
      <c r="D37" s="2844"/>
      <c r="E37" s="2845">
        <v>0.6</v>
      </c>
      <c r="F37" s="2842" t="s">
        <v>2469</v>
      </c>
      <c r="G37" s="2842"/>
    </row>
    <row r="38" spans="1:7" ht="19.5" customHeight="1">
      <c r="A38" s="3499"/>
      <c r="B38" s="3496"/>
      <c r="C38" s="2843" t="s">
        <v>2470</v>
      </c>
      <c r="D38" s="2844"/>
      <c r="E38" s="2845">
        <v>0.6</v>
      </c>
      <c r="F38" s="2842" t="s">
        <v>2471</v>
      </c>
      <c r="G38" s="2842"/>
    </row>
    <row r="39" spans="1:7" ht="19.5" customHeight="1" thickBot="1">
      <c r="A39" s="3500"/>
      <c r="B39" s="3497"/>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502" t="s">
        <v>2606</v>
      </c>
      <c r="B41" s="3495" t="s">
        <v>2630</v>
      </c>
      <c r="C41" s="2839" t="s">
        <v>2475</v>
      </c>
      <c r="D41" s="2840"/>
      <c r="E41" s="2841">
        <v>1</v>
      </c>
      <c r="F41" s="2842" t="s">
        <v>2476</v>
      </c>
      <c r="G41" s="2842"/>
    </row>
    <row r="42" spans="1:7" ht="19.5" customHeight="1">
      <c r="A42" s="3503"/>
      <c r="B42" s="3496"/>
      <c r="C42" s="2843" t="s">
        <v>2477</v>
      </c>
      <c r="D42" s="2844"/>
      <c r="E42" s="2845">
        <v>1</v>
      </c>
      <c r="F42" s="2842" t="s">
        <v>2478</v>
      </c>
      <c r="G42" s="2842"/>
    </row>
    <row r="43" spans="1:7" ht="19.5" customHeight="1">
      <c r="A43" s="3503"/>
      <c r="B43" s="3505"/>
      <c r="C43" s="2843" t="s">
        <v>2479</v>
      </c>
      <c r="D43" s="2844"/>
      <c r="E43" s="2845">
        <v>1.5</v>
      </c>
      <c r="F43" s="2842" t="s">
        <v>2480</v>
      </c>
      <c r="G43" s="2842"/>
    </row>
    <row r="44" spans="1:7" ht="19.5" customHeight="1">
      <c r="A44" s="3503"/>
      <c r="B44" s="2854" t="s">
        <v>2631</v>
      </c>
      <c r="C44" s="2843" t="s">
        <v>2632</v>
      </c>
      <c r="D44" s="2844"/>
      <c r="E44" s="2845">
        <v>2</v>
      </c>
      <c r="F44" s="2842" t="s">
        <v>2481</v>
      </c>
      <c r="G44" s="2842"/>
    </row>
    <row r="45" spans="1:7" ht="19.5" customHeight="1">
      <c r="A45" s="3503"/>
      <c r="B45" s="3501" t="s">
        <v>2633</v>
      </c>
      <c r="C45" s="2843" t="s">
        <v>2482</v>
      </c>
      <c r="D45" s="2844"/>
      <c r="E45" s="2845">
        <v>1</v>
      </c>
      <c r="F45" s="2842" t="s">
        <v>2483</v>
      </c>
      <c r="G45" s="2842"/>
    </row>
    <row r="46" spans="1:7" ht="19.5" customHeight="1">
      <c r="A46" s="3503"/>
      <c r="B46" s="3496"/>
      <c r="C46" s="2843" t="s">
        <v>2484</v>
      </c>
      <c r="D46" s="2844"/>
      <c r="E46" s="2845">
        <v>1</v>
      </c>
      <c r="F46" s="2842" t="s">
        <v>2485</v>
      </c>
      <c r="G46" s="2842"/>
    </row>
    <row r="47" spans="1:7" ht="19.5" customHeight="1">
      <c r="A47" s="3503"/>
      <c r="B47" s="3496"/>
      <c r="C47" s="2843" t="s">
        <v>2486</v>
      </c>
      <c r="D47" s="2844"/>
      <c r="E47" s="2845">
        <v>1</v>
      </c>
      <c r="F47" s="2842" t="s">
        <v>2487</v>
      </c>
      <c r="G47" s="2842"/>
    </row>
    <row r="48" spans="1:7" ht="19.5" customHeight="1">
      <c r="A48" s="3503"/>
      <c r="B48" s="3496"/>
      <c r="C48" s="2843" t="s">
        <v>2488</v>
      </c>
      <c r="D48" s="2844"/>
      <c r="E48" s="2845">
        <v>1</v>
      </c>
      <c r="F48" s="2842" t="s">
        <v>2489</v>
      </c>
      <c r="G48" s="2842"/>
    </row>
    <row r="49" spans="1:7" ht="19.5" customHeight="1">
      <c r="A49" s="3503"/>
      <c r="B49" s="3496"/>
      <c r="C49" s="2843" t="s">
        <v>2490</v>
      </c>
      <c r="D49" s="2844"/>
      <c r="E49" s="2845">
        <v>1</v>
      </c>
      <c r="F49" s="2842" t="s">
        <v>2491</v>
      </c>
      <c r="G49" s="2842"/>
    </row>
    <row r="50" spans="1:7" ht="19.5" customHeight="1">
      <c r="A50" s="3503"/>
      <c r="B50" s="3496"/>
      <c r="C50" s="2843" t="s">
        <v>2492</v>
      </c>
      <c r="D50" s="2844"/>
      <c r="E50" s="2845">
        <v>1</v>
      </c>
      <c r="F50" s="2842" t="s">
        <v>2493</v>
      </c>
      <c r="G50" s="2842"/>
    </row>
    <row r="51" spans="1:7" ht="19.5" customHeight="1" thickBot="1">
      <c r="A51" s="3504"/>
      <c r="B51" s="3497"/>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501" t="s">
        <v>2647</v>
      </c>
      <c r="C73" s="2828" t="s">
        <v>2648</v>
      </c>
      <c r="D73" s="2828" t="s">
        <v>2649</v>
      </c>
      <c r="E73" s="2854">
        <v>0.2</v>
      </c>
      <c r="F73" s="2854">
        <v>25</v>
      </c>
    </row>
    <row r="74" spans="1:7" ht="24">
      <c r="A74" s="2854">
        <v>2</v>
      </c>
      <c r="B74" s="3496"/>
      <c r="C74" s="2828" t="s">
        <v>2650</v>
      </c>
      <c r="D74" s="2828" t="s">
        <v>2651</v>
      </c>
      <c r="E74" s="2854">
        <v>0.2</v>
      </c>
      <c r="F74" s="2854">
        <v>25</v>
      </c>
    </row>
    <row r="75" spans="1:7" ht="24">
      <c r="A75" s="2854">
        <v>3</v>
      </c>
      <c r="B75" s="3496"/>
      <c r="C75" s="2828" t="s">
        <v>2652</v>
      </c>
      <c r="D75" s="2828" t="s">
        <v>2653</v>
      </c>
      <c r="E75" s="2854">
        <v>0.2</v>
      </c>
      <c r="F75" s="2854">
        <v>25</v>
      </c>
    </row>
    <row r="76" spans="1:7" ht="14.4">
      <c r="A76" s="2854">
        <v>4</v>
      </c>
      <c r="B76" s="3496"/>
      <c r="C76" s="2828" t="s">
        <v>2654</v>
      </c>
      <c r="D76" s="2828" t="s">
        <v>2655</v>
      </c>
      <c r="E76" s="2854">
        <v>0.15</v>
      </c>
      <c r="F76" s="2854">
        <v>20</v>
      </c>
    </row>
    <row r="77" spans="1:7" ht="24">
      <c r="A77" s="2854">
        <v>5</v>
      </c>
      <c r="B77" s="3496"/>
      <c r="C77" s="2828" t="s">
        <v>2656</v>
      </c>
      <c r="D77" s="2828" t="s">
        <v>2657</v>
      </c>
      <c r="E77" s="2854">
        <v>0.15</v>
      </c>
      <c r="F77" s="2854">
        <v>20</v>
      </c>
    </row>
    <row r="78" spans="1:7" ht="24">
      <c r="A78" s="2854">
        <v>6</v>
      </c>
      <c r="B78" s="3496"/>
      <c r="C78" s="2828" t="s">
        <v>2658</v>
      </c>
      <c r="D78" s="2828" t="s">
        <v>2659</v>
      </c>
      <c r="E78" s="2854">
        <v>0.15</v>
      </c>
      <c r="F78" s="2854">
        <v>20</v>
      </c>
    </row>
    <row r="79" spans="1:7" ht="24">
      <c r="A79" s="2854">
        <v>7</v>
      </c>
      <c r="B79" s="3496"/>
      <c r="C79" s="2828" t="s">
        <v>2660</v>
      </c>
      <c r="D79" s="2828" t="s">
        <v>2661</v>
      </c>
      <c r="E79" s="2854">
        <v>0.15</v>
      </c>
      <c r="F79" s="2854">
        <v>20</v>
      </c>
    </row>
    <row r="80" spans="1:7" ht="24">
      <c r="A80" s="2854">
        <v>8</v>
      </c>
      <c r="B80" s="3496"/>
      <c r="C80" s="2828" t="s">
        <v>2662</v>
      </c>
      <c r="D80" s="2828" t="s">
        <v>2663</v>
      </c>
      <c r="E80" s="2854">
        <v>0.1</v>
      </c>
      <c r="F80" s="2854">
        <v>15</v>
      </c>
    </row>
    <row r="81" spans="1:6" ht="24">
      <c r="A81" s="2854">
        <v>9</v>
      </c>
      <c r="B81" s="3496"/>
      <c r="C81" s="2828" t="s">
        <v>2664</v>
      </c>
      <c r="D81" s="2828" t="s">
        <v>2665</v>
      </c>
      <c r="E81" s="2854">
        <v>0.1</v>
      </c>
      <c r="F81" s="2854">
        <v>15</v>
      </c>
    </row>
    <row r="82" spans="1:6" ht="24">
      <c r="A82" s="2854">
        <v>10</v>
      </c>
      <c r="B82" s="3496"/>
      <c r="C82" s="2828" t="s">
        <v>2666</v>
      </c>
      <c r="D82" s="2828" t="s">
        <v>2667</v>
      </c>
      <c r="E82" s="2854">
        <v>0.1</v>
      </c>
      <c r="F82" s="2854">
        <v>15</v>
      </c>
    </row>
    <row r="83" spans="1:6" ht="24">
      <c r="A83" s="2854">
        <v>11</v>
      </c>
      <c r="B83" s="3496"/>
      <c r="C83" s="2828" t="s">
        <v>2668</v>
      </c>
      <c r="D83" s="2828" t="s">
        <v>2669</v>
      </c>
      <c r="E83" s="2854">
        <v>0.1</v>
      </c>
      <c r="F83" s="2854">
        <v>15</v>
      </c>
    </row>
    <row r="84" spans="1:6" ht="24">
      <c r="A84" s="2854">
        <v>12</v>
      </c>
      <c r="B84" s="3496"/>
      <c r="C84" s="2828" t="s">
        <v>2670</v>
      </c>
      <c r="D84" s="2828" t="s">
        <v>2671</v>
      </c>
      <c r="E84" s="2854">
        <v>0.1</v>
      </c>
      <c r="F84" s="2854">
        <v>15</v>
      </c>
    </row>
    <row r="85" spans="1:6" ht="24">
      <c r="A85" s="2854">
        <v>13</v>
      </c>
      <c r="B85" s="3496"/>
      <c r="C85" s="2828" t="s">
        <v>2672</v>
      </c>
      <c r="D85" s="2828" t="s">
        <v>2673</v>
      </c>
      <c r="E85" s="2854">
        <v>0.1</v>
      </c>
      <c r="F85" s="2854">
        <v>15</v>
      </c>
    </row>
    <row r="86" spans="1:6" ht="24">
      <c r="A86" s="2854">
        <v>14</v>
      </c>
      <c r="B86" s="3496"/>
      <c r="C86" s="2828" t="s">
        <v>2674</v>
      </c>
      <c r="D86" s="2828" t="s">
        <v>2675</v>
      </c>
      <c r="E86" s="2854">
        <v>0.1</v>
      </c>
      <c r="F86" s="2854">
        <v>15</v>
      </c>
    </row>
    <row r="87" spans="1:6" ht="24">
      <c r="A87" s="2854">
        <v>15</v>
      </c>
      <c r="B87" s="3496"/>
      <c r="C87" s="2828" t="s">
        <v>2676</v>
      </c>
      <c r="D87" s="2828" t="s">
        <v>2677</v>
      </c>
      <c r="E87" s="2854">
        <v>0.1</v>
      </c>
      <c r="F87" s="2854">
        <v>15</v>
      </c>
    </row>
    <row r="88" spans="1:6" ht="24">
      <c r="A88" s="2854">
        <v>16</v>
      </c>
      <c r="B88" s="3496"/>
      <c r="C88" s="2828" t="s">
        <v>2678</v>
      </c>
      <c r="D88" s="2828" t="s">
        <v>2679</v>
      </c>
      <c r="E88" s="2854">
        <v>0.1</v>
      </c>
      <c r="F88" s="2854">
        <v>15</v>
      </c>
    </row>
    <row r="89" spans="1:6" ht="24">
      <c r="A89" s="2854">
        <v>17</v>
      </c>
      <c r="B89" s="3505"/>
      <c r="C89" s="2828" t="s">
        <v>2680</v>
      </c>
      <c r="D89" s="2828" t="s">
        <v>2681</v>
      </c>
      <c r="E89" s="2854">
        <v>0.1</v>
      </c>
      <c r="F89" s="2854">
        <v>15</v>
      </c>
    </row>
    <row r="90" spans="1:6" ht="14.4">
      <c r="A90" s="2854">
        <v>18</v>
      </c>
      <c r="B90" s="3501" t="s">
        <v>2682</v>
      </c>
      <c r="C90" s="2828" t="s">
        <v>2683</v>
      </c>
      <c r="D90" s="2828" t="s">
        <v>2684</v>
      </c>
      <c r="E90" s="2854">
        <v>0.2</v>
      </c>
      <c r="F90" s="2854">
        <v>25</v>
      </c>
    </row>
    <row r="91" spans="1:6" ht="24">
      <c r="A91" s="2854">
        <v>19</v>
      </c>
      <c r="B91" s="3496"/>
      <c r="C91" s="2828" t="s">
        <v>2685</v>
      </c>
      <c r="D91" s="2828" t="s">
        <v>2686</v>
      </c>
      <c r="E91" s="2854">
        <v>0.2</v>
      </c>
      <c r="F91" s="2854">
        <v>25</v>
      </c>
    </row>
    <row r="92" spans="1:6" ht="14.4">
      <c r="A92" s="2854">
        <v>20</v>
      </c>
      <c r="B92" s="3496"/>
      <c r="C92" s="2828" t="s">
        <v>2687</v>
      </c>
      <c r="D92" s="2828" t="s">
        <v>2688</v>
      </c>
      <c r="E92" s="2854">
        <v>0.15</v>
      </c>
      <c r="F92" s="2854">
        <v>20</v>
      </c>
    </row>
    <row r="93" spans="1:6" ht="24">
      <c r="A93" s="2854">
        <v>21</v>
      </c>
      <c r="B93" s="3496"/>
      <c r="C93" s="2828" t="s">
        <v>2689</v>
      </c>
      <c r="D93" s="2828" t="s">
        <v>2690</v>
      </c>
      <c r="E93" s="2854">
        <v>0.15</v>
      </c>
      <c r="F93" s="2854">
        <v>20</v>
      </c>
    </row>
    <row r="94" spans="1:6" ht="24">
      <c r="A94" s="2854">
        <v>22</v>
      </c>
      <c r="B94" s="3496"/>
      <c r="C94" s="2828" t="s">
        <v>2691</v>
      </c>
      <c r="D94" s="2828" t="s">
        <v>2692</v>
      </c>
      <c r="E94" s="2854">
        <v>0.15</v>
      </c>
      <c r="F94" s="2854">
        <v>20</v>
      </c>
    </row>
    <row r="95" spans="1:6" ht="36">
      <c r="A95" s="2854">
        <v>23</v>
      </c>
      <c r="B95" s="3496"/>
      <c r="C95" s="2828" t="s">
        <v>2693</v>
      </c>
      <c r="D95" s="2828" t="s">
        <v>2694</v>
      </c>
      <c r="E95" s="2854">
        <v>0.15</v>
      </c>
      <c r="F95" s="2854">
        <v>20</v>
      </c>
    </row>
    <row r="96" spans="1:6" ht="24">
      <c r="A96" s="2854">
        <v>24</v>
      </c>
      <c r="B96" s="3496"/>
      <c r="C96" s="2828" t="s">
        <v>2695</v>
      </c>
      <c r="D96" s="2828" t="s">
        <v>2696</v>
      </c>
      <c r="E96" s="2854">
        <v>0.1</v>
      </c>
      <c r="F96" s="2854">
        <v>15</v>
      </c>
    </row>
    <row r="97" spans="1:6" ht="24">
      <c r="A97" s="2854">
        <v>25</v>
      </c>
      <c r="B97" s="3496"/>
      <c r="C97" s="2828" t="s">
        <v>2697</v>
      </c>
      <c r="D97" s="2828" t="s">
        <v>2698</v>
      </c>
      <c r="E97" s="2854">
        <v>0.1</v>
      </c>
      <c r="F97" s="2854">
        <v>15</v>
      </c>
    </row>
    <row r="98" spans="1:6" ht="24">
      <c r="A98" s="2854">
        <v>26</v>
      </c>
      <c r="B98" s="3496"/>
      <c r="C98" s="2828" t="s">
        <v>2699</v>
      </c>
      <c r="D98" s="2828" t="s">
        <v>2700</v>
      </c>
      <c r="E98" s="2854">
        <v>0.1</v>
      </c>
      <c r="F98" s="2854">
        <v>15</v>
      </c>
    </row>
    <row r="99" spans="1:6" ht="24">
      <c r="A99" s="2854">
        <v>27</v>
      </c>
      <c r="B99" s="3496"/>
      <c r="C99" s="2828" t="s">
        <v>2701</v>
      </c>
      <c r="D99" s="2828" t="s">
        <v>2702</v>
      </c>
      <c r="E99" s="2854">
        <v>0.1</v>
      </c>
      <c r="F99" s="2854">
        <v>15</v>
      </c>
    </row>
    <row r="100" spans="1:6" ht="24">
      <c r="A100" s="2854">
        <v>28</v>
      </c>
      <c r="B100" s="3496"/>
      <c r="C100" s="2828" t="s">
        <v>2703</v>
      </c>
      <c r="D100" s="2828" t="s">
        <v>2704</v>
      </c>
      <c r="E100" s="2854">
        <v>0.1</v>
      </c>
      <c r="F100" s="2854">
        <v>15</v>
      </c>
    </row>
    <row r="101" spans="1:6" ht="24">
      <c r="A101" s="2854">
        <v>29</v>
      </c>
      <c r="B101" s="3496"/>
      <c r="C101" s="2828" t="s">
        <v>2705</v>
      </c>
      <c r="D101" s="2828" t="s">
        <v>2706</v>
      </c>
      <c r="E101" s="2854">
        <v>0.1</v>
      </c>
      <c r="F101" s="2854">
        <v>15</v>
      </c>
    </row>
    <row r="102" spans="1:6" ht="24">
      <c r="A102" s="2854">
        <v>30</v>
      </c>
      <c r="B102" s="3496"/>
      <c r="C102" s="2828" t="s">
        <v>2707</v>
      </c>
      <c r="D102" s="2828" t="s">
        <v>2708</v>
      </c>
      <c r="E102" s="2854">
        <v>0.1</v>
      </c>
      <c r="F102" s="2854">
        <v>15</v>
      </c>
    </row>
    <row r="103" spans="1:6" ht="24">
      <c r="A103" s="2854">
        <v>31</v>
      </c>
      <c r="B103" s="3496"/>
      <c r="C103" s="2828" t="s">
        <v>2709</v>
      </c>
      <c r="D103" s="2828" t="s">
        <v>2710</v>
      </c>
      <c r="E103" s="2854">
        <v>0.1</v>
      </c>
      <c r="F103" s="2854">
        <v>15</v>
      </c>
    </row>
    <row r="104" spans="1:6" ht="24">
      <c r="A104" s="2854">
        <v>32</v>
      </c>
      <c r="B104" s="3496"/>
      <c r="C104" s="2828" t="s">
        <v>2711</v>
      </c>
      <c r="D104" s="2828" t="s">
        <v>2712</v>
      </c>
      <c r="E104" s="2854">
        <v>0.1</v>
      </c>
      <c r="F104" s="2854">
        <v>15</v>
      </c>
    </row>
    <row r="105" spans="1:6" ht="24">
      <c r="A105" s="2854">
        <v>33</v>
      </c>
      <c r="B105" s="3496"/>
      <c r="C105" s="2828" t="s">
        <v>2713</v>
      </c>
      <c r="D105" s="2828" t="s">
        <v>2714</v>
      </c>
      <c r="E105" s="2854">
        <v>0.1</v>
      </c>
      <c r="F105" s="2854">
        <v>15</v>
      </c>
    </row>
    <row r="106" spans="1:6" ht="24">
      <c r="A106" s="2854">
        <v>34</v>
      </c>
      <c r="B106" s="3505"/>
      <c r="C106" s="2828" t="s">
        <v>2715</v>
      </c>
      <c r="D106" s="2828" t="s">
        <v>2716</v>
      </c>
      <c r="E106" s="2854">
        <v>0.1</v>
      </c>
      <c r="F106" s="2854">
        <v>15</v>
      </c>
    </row>
    <row r="107" spans="1:6" ht="36">
      <c r="A107" s="2854">
        <v>35</v>
      </c>
      <c r="B107" s="3501" t="s">
        <v>2717</v>
      </c>
      <c r="C107" s="2854" t="s">
        <v>2718</v>
      </c>
      <c r="D107" s="2828" t="s">
        <v>2719</v>
      </c>
      <c r="E107" s="2854">
        <v>0.15</v>
      </c>
      <c r="F107" s="2854">
        <v>20</v>
      </c>
    </row>
    <row r="108" spans="1:6" ht="24">
      <c r="A108" s="2854">
        <v>36</v>
      </c>
      <c r="B108" s="3496"/>
      <c r="C108" s="2854" t="s">
        <v>2720</v>
      </c>
      <c r="D108" s="2828" t="s">
        <v>2721</v>
      </c>
      <c r="E108" s="2854">
        <v>0.15</v>
      </c>
      <c r="F108" s="2854">
        <v>20</v>
      </c>
    </row>
    <row r="109" spans="1:6" ht="24">
      <c r="A109" s="2854">
        <v>37</v>
      </c>
      <c r="B109" s="3496"/>
      <c r="C109" s="2854" t="s">
        <v>2722</v>
      </c>
      <c r="D109" s="2828" t="s">
        <v>2723</v>
      </c>
      <c r="E109" s="2854">
        <v>0.15</v>
      </c>
      <c r="F109" s="2854">
        <v>20</v>
      </c>
    </row>
    <row r="110" spans="1:6" ht="24">
      <c r="A110" s="2854">
        <v>38</v>
      </c>
      <c r="B110" s="3496"/>
      <c r="C110" s="2854" t="s">
        <v>2724</v>
      </c>
      <c r="D110" s="2828" t="s">
        <v>2725</v>
      </c>
      <c r="E110" s="2854">
        <v>0.1</v>
      </c>
      <c r="F110" s="2854">
        <v>15</v>
      </c>
    </row>
    <row r="111" spans="1:6" ht="24">
      <c r="A111" s="2854">
        <v>39</v>
      </c>
      <c r="B111" s="3496"/>
      <c r="C111" s="2854" t="s">
        <v>2726</v>
      </c>
      <c r="D111" s="2828" t="s">
        <v>2727</v>
      </c>
      <c r="E111" s="2854">
        <v>0.1</v>
      </c>
      <c r="F111" s="2854">
        <v>15</v>
      </c>
    </row>
    <row r="112" spans="1:6" ht="24">
      <c r="A112" s="2854">
        <v>40</v>
      </c>
      <c r="B112" s="3505"/>
      <c r="C112" s="2854" t="s">
        <v>2728</v>
      </c>
      <c r="D112" s="2828" t="s">
        <v>2729</v>
      </c>
      <c r="E112" s="2854">
        <v>0.1</v>
      </c>
      <c r="F112" s="2854">
        <v>15</v>
      </c>
    </row>
    <row r="113" spans="1:6" ht="24">
      <c r="A113" s="2854">
        <v>41</v>
      </c>
      <c r="B113" s="3506" t="s">
        <v>2730</v>
      </c>
      <c r="C113" s="2854" t="s">
        <v>2731</v>
      </c>
      <c r="D113" s="2828" t="s">
        <v>2732</v>
      </c>
      <c r="E113" s="2854">
        <v>0.1</v>
      </c>
      <c r="F113" s="2854">
        <v>15</v>
      </c>
    </row>
    <row r="114" spans="1:6" ht="24">
      <c r="A114" s="2854">
        <v>42</v>
      </c>
      <c r="B114" s="3506"/>
      <c r="C114" s="2854" t="s">
        <v>2733</v>
      </c>
      <c r="D114" s="2828" t="s">
        <v>2734</v>
      </c>
      <c r="E114" s="2854">
        <v>0.1</v>
      </c>
      <c r="F114" s="2854">
        <v>15</v>
      </c>
    </row>
    <row r="115" spans="1:6" ht="24">
      <c r="A115" s="2854">
        <v>43</v>
      </c>
      <c r="B115" s="3506"/>
      <c r="C115" s="2854" t="s">
        <v>2735</v>
      </c>
      <c r="D115" s="2828" t="s">
        <v>2736</v>
      </c>
      <c r="E115" s="2854">
        <v>0.1</v>
      </c>
      <c r="F115" s="2854">
        <v>15</v>
      </c>
    </row>
    <row r="116" spans="1:6" ht="24">
      <c r="A116" s="2854">
        <v>44</v>
      </c>
      <c r="B116" s="3501" t="s">
        <v>2737</v>
      </c>
      <c r="C116" s="2854" t="s">
        <v>2738</v>
      </c>
      <c r="D116" s="2828" t="s">
        <v>2739</v>
      </c>
      <c r="E116" s="2854">
        <v>0.1</v>
      </c>
      <c r="F116" s="2854">
        <v>15</v>
      </c>
    </row>
    <row r="117" spans="1:6" ht="24">
      <c r="A117" s="2854">
        <v>45</v>
      </c>
      <c r="B117" s="3505"/>
      <c r="C117" s="2828" t="s">
        <v>2740</v>
      </c>
      <c r="D117" s="2828" t="s">
        <v>2741</v>
      </c>
      <c r="E117" s="2854">
        <v>0.1</v>
      </c>
      <c r="F117" s="2854">
        <v>15</v>
      </c>
    </row>
    <row r="118" spans="1:6" ht="24">
      <c r="A118" s="2854">
        <v>46</v>
      </c>
      <c r="B118" s="3501" t="s">
        <v>2742</v>
      </c>
      <c r="C118" s="2854" t="s">
        <v>2743</v>
      </c>
      <c r="D118" s="2828" t="s">
        <v>2744</v>
      </c>
      <c r="E118" s="2854">
        <v>0.1</v>
      </c>
      <c r="F118" s="2854">
        <v>15</v>
      </c>
    </row>
    <row r="119" spans="1:6" ht="24">
      <c r="A119" s="2854">
        <v>47</v>
      </c>
      <c r="B119" s="3505"/>
      <c r="C119" s="2854" t="s">
        <v>2745</v>
      </c>
      <c r="D119" s="2828" t="s">
        <v>2746</v>
      </c>
      <c r="E119" s="2854">
        <v>0.1</v>
      </c>
      <c r="F119" s="2854">
        <v>15</v>
      </c>
    </row>
    <row r="120" spans="1:6" ht="24">
      <c r="A120" s="2854">
        <v>48</v>
      </c>
      <c r="B120" s="3501" t="s">
        <v>2747</v>
      </c>
      <c r="C120" s="2854" t="s">
        <v>2748</v>
      </c>
      <c r="D120" s="2828" t="s">
        <v>2749</v>
      </c>
      <c r="E120" s="2854">
        <v>0.1</v>
      </c>
      <c r="F120" s="2854">
        <v>15</v>
      </c>
    </row>
    <row r="121" spans="1:6" ht="24">
      <c r="A121" s="2854">
        <v>49</v>
      </c>
      <c r="B121" s="3505"/>
      <c r="C121" s="2854" t="s">
        <v>2750</v>
      </c>
      <c r="D121" s="2828" t="s">
        <v>2751</v>
      </c>
      <c r="E121" s="2854">
        <v>0.1</v>
      </c>
      <c r="F121" s="2854">
        <v>15</v>
      </c>
    </row>
    <row r="122" spans="1:6" ht="24">
      <c r="A122" s="2854">
        <v>50</v>
      </c>
      <c r="B122" s="3506" t="s">
        <v>2752</v>
      </c>
      <c r="C122" s="2854" t="s">
        <v>2753</v>
      </c>
      <c r="D122" s="2828" t="s">
        <v>2754</v>
      </c>
      <c r="E122" s="2854">
        <v>0.1</v>
      </c>
      <c r="F122" s="2854">
        <v>15</v>
      </c>
    </row>
    <row r="123" spans="1:6" ht="24">
      <c r="A123" s="2854">
        <v>51</v>
      </c>
      <c r="B123" s="3506"/>
      <c r="C123" s="2854" t="s">
        <v>2755</v>
      </c>
      <c r="D123" s="2828" t="s">
        <v>2756</v>
      </c>
      <c r="E123" s="2854">
        <v>0.1</v>
      </c>
      <c r="F123" s="2854">
        <v>15</v>
      </c>
    </row>
    <row r="124" spans="1:6" ht="24">
      <c r="A124" s="2854">
        <v>52</v>
      </c>
      <c r="B124" s="3506" t="s">
        <v>2757</v>
      </c>
      <c r="C124" s="2854" t="s">
        <v>2758</v>
      </c>
      <c r="D124" s="2828" t="s">
        <v>2759</v>
      </c>
      <c r="E124" s="2854">
        <v>0.1</v>
      </c>
      <c r="F124" s="2854">
        <v>15</v>
      </c>
    </row>
    <row r="125" spans="1:6" ht="24">
      <c r="A125" s="2854">
        <v>53</v>
      </c>
      <c r="B125" s="3506"/>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506" t="s">
        <v>2765</v>
      </c>
      <c r="C127" s="2854" t="s">
        <v>2766</v>
      </c>
      <c r="D127" s="2828" t="s">
        <v>2767</v>
      </c>
      <c r="E127" s="2854">
        <v>0.1</v>
      </c>
      <c r="F127" s="2854">
        <v>15</v>
      </c>
    </row>
    <row r="128" spans="1:6" ht="24">
      <c r="A128" s="2854">
        <v>56</v>
      </c>
      <c r="B128" s="3506"/>
      <c r="C128" s="2854" t="s">
        <v>2768</v>
      </c>
      <c r="D128" s="2828" t="s">
        <v>2769</v>
      </c>
      <c r="E128" s="2854">
        <v>0.1</v>
      </c>
      <c r="F128" s="2854">
        <v>15</v>
      </c>
    </row>
    <row r="129" spans="1:6" ht="24">
      <c r="A129" s="2854">
        <v>57</v>
      </c>
      <c r="B129" s="3506"/>
      <c r="C129" s="2854" t="s">
        <v>2770</v>
      </c>
      <c r="D129" s="2828" t="s">
        <v>2771</v>
      </c>
      <c r="E129" s="2854">
        <v>0.1</v>
      </c>
      <c r="F129" s="2854">
        <v>15</v>
      </c>
    </row>
    <row r="130" spans="1:6" ht="24">
      <c r="A130" s="2854">
        <v>58</v>
      </c>
      <c r="B130" s="3506" t="s">
        <v>2772</v>
      </c>
      <c r="C130" s="2854" t="s">
        <v>2773</v>
      </c>
      <c r="D130" s="2828" t="s">
        <v>2774</v>
      </c>
      <c r="E130" s="2854">
        <v>0.1</v>
      </c>
      <c r="F130" s="2854">
        <v>15</v>
      </c>
    </row>
    <row r="131" spans="1:6" ht="24">
      <c r="A131" s="2854">
        <v>59</v>
      </c>
      <c r="B131" s="3506"/>
      <c r="C131" s="2854" t="s">
        <v>2775</v>
      </c>
      <c r="D131" s="2828" t="s">
        <v>2776</v>
      </c>
      <c r="E131" s="2854">
        <v>0.1</v>
      </c>
      <c r="F131" s="2854">
        <v>15</v>
      </c>
    </row>
    <row r="132" spans="1:6" ht="24">
      <c r="A132" s="2854">
        <v>60</v>
      </c>
      <c r="B132" s="3501" t="s">
        <v>2777</v>
      </c>
      <c r="C132" s="2854" t="s">
        <v>2778</v>
      </c>
      <c r="D132" s="2828" t="s">
        <v>2779</v>
      </c>
      <c r="E132" s="2854">
        <v>0.1</v>
      </c>
      <c r="F132" s="2854">
        <v>15</v>
      </c>
    </row>
    <row r="133" spans="1:6" ht="24">
      <c r="A133" s="2854">
        <v>61</v>
      </c>
      <c r="B133" s="3505"/>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506" t="s">
        <v>2785</v>
      </c>
      <c r="C135" s="2854" t="s">
        <v>2786</v>
      </c>
      <c r="D135" s="2828" t="s">
        <v>2787</v>
      </c>
      <c r="E135" s="2854">
        <v>0.1</v>
      </c>
      <c r="F135" s="2854">
        <v>15</v>
      </c>
    </row>
    <row r="136" spans="1:6" ht="24">
      <c r="A136" s="2854">
        <v>64</v>
      </c>
      <c r="B136" s="3506"/>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8" thickBot="1">
      <c r="A4" s="1388"/>
      <c r="B4" s="3192" t="s">
        <v>917</v>
      </c>
      <c r="C4" s="3192"/>
      <c r="D4" s="3192"/>
      <c r="E4" s="1388"/>
    </row>
    <row r="5" spans="1:5" ht="16.2" thickTop="1">
      <c r="B5" s="3190" t="s">
        <v>909</v>
      </c>
      <c r="C5" s="1389" t="s">
        <v>910</v>
      </c>
      <c r="D5" s="794">
        <f ca="1">结果表!H101</f>
        <v>27409</v>
      </c>
    </row>
    <row r="6" spans="1:5" ht="15.6">
      <c r="B6" s="3190"/>
      <c r="C6" s="1389" t="s">
        <v>911</v>
      </c>
      <c r="D6" s="794" t="str">
        <f ca="1">NUMBERSTRING(INT(D5*10000),2)&amp;"元整"</f>
        <v>贰亿柒仟肆佰零玖万元整</v>
      </c>
    </row>
    <row r="7" spans="1:5" ht="15.6">
      <c r="B7" s="3195"/>
      <c r="C7" s="1390" t="s">
        <v>912</v>
      </c>
      <c r="D7" s="795">
        <f ca="1">结果表!H102</f>
        <v>12487</v>
      </c>
    </row>
    <row r="8" spans="1:5" ht="15.6">
      <c r="B8" s="3196" t="str">
        <f>结果表!E103</f>
        <v>2.估价师知悉的法定优先受偿款</v>
      </c>
      <c r="C8" s="1391" t="s">
        <v>913</v>
      </c>
      <c r="D8" s="795">
        <f>结果表!H103</f>
        <v>0</v>
      </c>
    </row>
    <row r="9" spans="1:5" ht="15.6">
      <c r="B9" s="3198"/>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89" t="str">
        <f>结果表!E107</f>
        <v>3.房地产抵押价值</v>
      </c>
      <c r="C13" s="1394" t="s">
        <v>910</v>
      </c>
      <c r="D13" s="797">
        <f ca="1">结果表!H107</f>
        <v>27409</v>
      </c>
    </row>
    <row r="14" spans="1:5" ht="15.6">
      <c r="B14" s="3190"/>
      <c r="C14" s="1389" t="s">
        <v>911</v>
      </c>
      <c r="D14" s="794" t="str">
        <f ca="1">NUMBERSTRING(INT(D13*10000),2)&amp;"元整"</f>
        <v>贰亿柒仟肆佰零玖万元整</v>
      </c>
    </row>
    <row r="15" spans="1:5" ht="15.6">
      <c r="B15" s="3195"/>
      <c r="C15" s="1390" t="s">
        <v>921</v>
      </c>
      <c r="D15" s="803">
        <f ca="1">结果表!H108</f>
        <v>12487</v>
      </c>
    </row>
    <row r="16" spans="1:5" ht="15.6">
      <c r="B16" s="3196" t="str">
        <f>结果表!E109</f>
        <v>——</v>
      </c>
      <c r="C16" s="1394" t="s">
        <v>922</v>
      </c>
      <c r="D16" s="1395" t="str">
        <f>结果表!H109</f>
        <v>——</v>
      </c>
    </row>
    <row r="17" spans="1:5" ht="15.6">
      <c r="B17" s="3197"/>
      <c r="C17" s="1389" t="s">
        <v>923</v>
      </c>
      <c r="D17" s="794" t="e">
        <f>NUMBERSTRING(INT(D16*10000),2)&amp;"元整"</f>
        <v>#VALUE!</v>
      </c>
    </row>
    <row r="18" spans="1:5" ht="15.6">
      <c r="B18" s="3198"/>
      <c r="C18" s="1390" t="s">
        <v>912</v>
      </c>
      <c r="D18" s="803" t="str">
        <f>结果表!H110</f>
        <v>——</v>
      </c>
    </row>
    <row r="19" spans="1:5" ht="15.6">
      <c r="B19" s="3189" t="str">
        <f>结果表!E111</f>
        <v>4.抵押净值</v>
      </c>
      <c r="C19" s="1394" t="s">
        <v>910</v>
      </c>
      <c r="D19" s="795">
        <f ca="1">结果表!H111</f>
        <v>10420</v>
      </c>
    </row>
    <row r="20" spans="1:5" ht="15.6">
      <c r="B20" s="3190"/>
      <c r="C20" s="1389" t="s">
        <v>923</v>
      </c>
      <c r="D20" s="794" t="str">
        <f ca="1">NUMBERSTRING(INT(D19*10000),2)&amp;"元整"</f>
        <v>壹亿零肆佰贰拾万元整</v>
      </c>
    </row>
    <row r="21" spans="1:5" ht="16.2" thickBot="1">
      <c r="B21" s="3191"/>
      <c r="C21" s="1396" t="s">
        <v>921</v>
      </c>
      <c r="D21" s="804">
        <f ca="1">结果表!H112</f>
        <v>4747</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4"/>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1</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4"/>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4"/>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0.94710000000000005</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40630</v>
      </c>
      <c r="C2" s="2" t="s">
        <v>106</v>
      </c>
      <c r="D2" s="189"/>
      <c r="E2" s="189"/>
      <c r="F2" s="189"/>
      <c r="G2" s="189"/>
    </row>
    <row r="3" spans="1:7" s="190" customFormat="1" ht="18" customHeight="1" thickBot="1">
      <c r="A3" s="193" t="s">
        <v>58</v>
      </c>
      <c r="B3" s="194">
        <f ca="1">ROUND(B2*10000/'数据-汇总表'!E3,0)</f>
        <v>18510</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160</v>
      </c>
      <c r="F9" s="211"/>
      <c r="G9" s="216"/>
    </row>
    <row r="10" spans="1:7" s="204" customFormat="1" ht="13.5" customHeight="1">
      <c r="A10" s="730" t="s">
        <v>356</v>
      </c>
      <c r="B10" s="214" t="s">
        <v>67</v>
      </c>
      <c r="C10" s="215">
        <f>ROUND(D10*E10/10000,0)</f>
        <v>439</v>
      </c>
      <c r="D10" s="792">
        <f>'数据-汇总表'!E6</f>
        <v>21949.910000000098</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439</v>
      </c>
      <c r="D19" s="202">
        <f>'数据-汇总表'!E3</f>
        <v>21949.910000000098</v>
      </c>
      <c r="E19" s="201">
        <f>'数据-取费表'!B31</f>
        <v>200</v>
      </c>
      <c r="F19" s="221"/>
      <c r="G19" s="1" t="s">
        <v>436</v>
      </c>
    </row>
    <row r="20" spans="1:7" s="204" customFormat="1" ht="13.5" customHeight="1">
      <c r="A20" s="728" t="s">
        <v>419</v>
      </c>
      <c r="B20" s="200" t="s">
        <v>77</v>
      </c>
      <c r="C20" s="222">
        <f>ROUND((C5+C19)*F20,0)</f>
        <v>631</v>
      </c>
      <c r="D20" s="222"/>
      <c r="E20" s="222"/>
      <c r="F20" s="223">
        <f>'数据-取费表'!B37</f>
        <v>0.03</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1695</v>
      </c>
      <c r="D22" s="225">
        <f ca="1">C26</f>
        <v>8.0000000000000004E-4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1635</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35</v>
      </c>
      <c r="D24" s="228"/>
      <c r="E24" s="228"/>
      <c r="F24" s="229"/>
      <c r="G24" s="230" t="s">
        <v>82</v>
      </c>
    </row>
    <row r="25" spans="1:7" s="204" customFormat="1" ht="24">
      <c r="A25" s="731" t="s">
        <v>348</v>
      </c>
      <c r="B25" s="205" t="s">
        <v>420</v>
      </c>
      <c r="C25" s="1039">
        <f ca="1">ROUND(IF('数据-取费表'!B22&lt;=1,C20*F22*'数据-取费表'!B23/2,C20*(POWER((1+F22),'数据-取费表'!B23/2)-1)),0)</f>
        <v>25</v>
      </c>
      <c r="D25" s="228"/>
      <c r="E25" s="231"/>
      <c r="F25" s="229"/>
      <c r="G25" s="232" t="s">
        <v>83</v>
      </c>
    </row>
    <row r="26" spans="1:7" s="204" customFormat="1">
      <c r="A26" s="731" t="s">
        <v>350</v>
      </c>
      <c r="B26" s="205" t="s">
        <v>422</v>
      </c>
      <c r="C26" s="228">
        <f ca="1">ROUND(IF('数据-取费表'!B22&lt;=1,F21*F22*'数据-取费表'!B23/2,F21*(POWER((1+F22),'数据-取费表'!B23/2)-1)),4)</f>
        <v>8.0000000000000004E-4</v>
      </c>
      <c r="D26" s="228"/>
      <c r="E26" s="231"/>
      <c r="F26" s="229"/>
      <c r="G26" s="233"/>
    </row>
    <row r="27" spans="1:7" s="204" customFormat="1" ht="26.4">
      <c r="A27" s="728" t="s">
        <v>342</v>
      </c>
      <c r="B27" s="234" t="s">
        <v>85</v>
      </c>
      <c r="C27" s="235">
        <f>C28</f>
        <v>1951</v>
      </c>
      <c r="D27" s="225">
        <f>C29</f>
        <v>1.8E-3</v>
      </c>
      <c r="E27" s="226" t="s">
        <v>99</v>
      </c>
      <c r="F27" s="236">
        <f>'数据-取费表'!Q16</f>
        <v>0.09</v>
      </c>
      <c r="G27" s="237" t="s">
        <v>431</v>
      </c>
    </row>
    <row r="28" spans="1:7" s="204" customFormat="1" ht="13.5" customHeight="1">
      <c r="A28" s="731" t="s">
        <v>349</v>
      </c>
      <c r="B28" s="238" t="s">
        <v>424</v>
      </c>
      <c r="C28" s="239">
        <f>ROUND((C5+C19+C20)*F27*'数据-取费表'!B21/'数据-取费表'!B20,0)</f>
        <v>1951</v>
      </c>
      <c r="D28" s="225"/>
      <c r="E28" s="226"/>
      <c r="F28" s="236"/>
      <c r="G28" s="237"/>
    </row>
    <row r="29" spans="1:7" s="204" customFormat="1" ht="13.5" customHeight="1">
      <c r="A29" s="731" t="s">
        <v>347</v>
      </c>
      <c r="B29" s="238" t="s">
        <v>425</v>
      </c>
      <c r="C29" s="228">
        <f>ROUND(C21*F27*'数据-取费表'!B21/'数据-取费表'!B20,4)</f>
        <v>1.8E-3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27407</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13648</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12345</v>
      </c>
      <c r="D34" s="207"/>
      <c r="E34" s="210"/>
      <c r="F34" s="247">
        <f>IF('数据-取费表'!B24=0,1,'数据-取费表'!N16)</f>
        <v>1</v>
      </c>
      <c r="G34" s="209" t="s">
        <v>89</v>
      </c>
    </row>
    <row r="35" spans="1:7" ht="13.5" customHeight="1">
      <c r="A35" s="731" t="s">
        <v>351</v>
      </c>
      <c r="B35" s="205" t="s">
        <v>33</v>
      </c>
      <c r="C35" s="210">
        <f>ROUND(C34*F35,0)</f>
        <v>617</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439</v>
      </c>
      <c r="D37" s="207">
        <f>'数据-汇总表'!E3</f>
        <v>21949.910000000098</v>
      </c>
      <c r="E37" s="239">
        <f>'数据-取费表'!B35</f>
        <v>200</v>
      </c>
      <c r="F37" s="249"/>
      <c r="G37" s="251" t="s">
        <v>92</v>
      </c>
    </row>
    <row r="38" spans="1:7" ht="13.5" customHeight="1">
      <c r="A38" s="731" t="s">
        <v>354</v>
      </c>
      <c r="B38" s="205" t="s">
        <v>36</v>
      </c>
      <c r="C38" s="210">
        <f>ROUND(C34*F38,0)</f>
        <v>247</v>
      </c>
      <c r="D38" s="210"/>
      <c r="E38" s="210"/>
      <c r="F38" s="249">
        <f>'数据-取费表'!B36</f>
        <v>0.02</v>
      </c>
      <c r="G38" s="209" t="s">
        <v>90</v>
      </c>
    </row>
    <row r="39" spans="1:7" s="204" customFormat="1" ht="13.5" customHeight="1">
      <c r="A39" s="728" t="s">
        <v>338</v>
      </c>
      <c r="B39" s="200" t="s">
        <v>77</v>
      </c>
      <c r="C39" s="222">
        <f>ROUND(C33*F20,0)</f>
        <v>409</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547</v>
      </c>
      <c r="D41" s="225">
        <f ca="1">C44</f>
        <v>8.0000000000000004E-4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531</v>
      </c>
      <c r="D42" s="228"/>
      <c r="E42" s="228"/>
      <c r="F42" s="229"/>
      <c r="G42" s="3391" t="s">
        <v>94</v>
      </c>
    </row>
    <row r="43" spans="1:7" ht="13.5" customHeight="1">
      <c r="A43" s="731" t="s">
        <v>347</v>
      </c>
      <c r="B43" s="205" t="s">
        <v>426</v>
      </c>
      <c r="C43" s="228">
        <f ca="1">ROUND(IF('数据-取费表'!B22&lt;=1,C39*F22*'数据-取费表'!B21/2,C39*(POWER((1+F22),'数据-取费表'!B21/2)-1)),0)</f>
        <v>16</v>
      </c>
      <c r="D43" s="228"/>
      <c r="E43" s="228"/>
      <c r="F43" s="229"/>
      <c r="G43" s="3392"/>
    </row>
    <row r="44" spans="1:7" ht="13.5" customHeight="1">
      <c r="A44" s="731" t="s">
        <v>348</v>
      </c>
      <c r="B44" s="205" t="s">
        <v>428</v>
      </c>
      <c r="C44" s="228">
        <f ca="1">ROUND(IF('数据-取费表'!B22&lt;=1,C40*F22*'数据-取费表'!B21/2,C40*(POWER((1+F22),'数据-取费表'!B21/2)-1)),4)</f>
        <v>8.0000000000000004E-4</v>
      </c>
      <c r="D44" s="228"/>
      <c r="E44" s="228"/>
      <c r="F44" s="229"/>
      <c r="G44" s="3393"/>
    </row>
    <row r="45" spans="1:7" s="204" customFormat="1" ht="13.5" customHeight="1">
      <c r="A45" s="728" t="s">
        <v>341</v>
      </c>
      <c r="B45" s="234" t="s">
        <v>85</v>
      </c>
      <c r="C45" s="235">
        <f>C46</f>
        <v>1265</v>
      </c>
      <c r="D45" s="225">
        <f>C47</f>
        <v>1.8E-3</v>
      </c>
      <c r="E45" s="226" t="s">
        <v>102</v>
      </c>
      <c r="F45" s="236"/>
      <c r="G45" s="237" t="s">
        <v>434</v>
      </c>
    </row>
    <row r="46" spans="1:7" s="204" customFormat="1" ht="13.5" customHeight="1">
      <c r="A46" s="731" t="s">
        <v>349</v>
      </c>
      <c r="B46" s="238" t="s">
        <v>427</v>
      </c>
      <c r="C46" s="239">
        <f>ROUND((C33+C39)*F27,0)</f>
        <v>1265</v>
      </c>
      <c r="D46" s="253"/>
      <c r="E46" s="226"/>
      <c r="F46" s="236"/>
      <c r="G46" s="237"/>
    </row>
    <row r="47" spans="1:7" s="204" customFormat="1" ht="13.5" customHeight="1">
      <c r="A47" s="731" t="s">
        <v>347</v>
      </c>
      <c r="B47" s="238" t="s">
        <v>429</v>
      </c>
      <c r="C47" s="228">
        <f>ROUND(C40*F27,4)</f>
        <v>1.8E-3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17173</v>
      </c>
      <c r="D49" s="222"/>
      <c r="E49" s="222"/>
      <c r="F49" s="254"/>
      <c r="G49" s="224" t="s">
        <v>435</v>
      </c>
    </row>
    <row r="50" spans="1:7" s="248" customFormat="1" ht="24">
      <c r="A50" s="728" t="s">
        <v>344</v>
      </c>
      <c r="B50" s="200" t="s">
        <v>97</v>
      </c>
      <c r="C50" s="222"/>
      <c r="D50" s="222"/>
      <c r="E50" s="222"/>
      <c r="F50" s="254">
        <f>IF('数据-取费表'!B24=0,'数据-取费表'!N16,1)</f>
        <v>0.77</v>
      </c>
      <c r="G50" s="237" t="s">
        <v>98</v>
      </c>
    </row>
    <row r="51" spans="1:7" ht="16.5" customHeight="1">
      <c r="A51" s="728" t="s">
        <v>345</v>
      </c>
      <c r="B51" s="200" t="s">
        <v>105</v>
      </c>
      <c r="C51" s="222">
        <f ca="1">ROUND(C49*F50,0)</f>
        <v>13223</v>
      </c>
      <c r="D51" s="222"/>
      <c r="E51" s="222"/>
      <c r="F51" s="254"/>
      <c r="G51" s="224" t="s">
        <v>37</v>
      </c>
    </row>
    <row r="52" spans="1:7" s="198" customFormat="1" ht="16.8" thickBot="1">
      <c r="A52" s="255" t="s">
        <v>38</v>
      </c>
      <c r="B52" s="256"/>
      <c r="C52" s="257">
        <f ca="1">C31+C51</f>
        <v>40630</v>
      </c>
      <c r="D52" s="256"/>
      <c r="E52" s="256"/>
      <c r="F52" s="256"/>
      <c r="G52" s="258"/>
    </row>
    <row r="55" spans="1:7" ht="15">
      <c r="B55" s="260" t="s">
        <v>39</v>
      </c>
      <c r="C55" s="261"/>
    </row>
    <row r="56" spans="1:7">
      <c r="B56" s="263" t="s">
        <v>40</v>
      </c>
      <c r="C56" s="264">
        <f ca="1">ROUND(C51/C52,3)</f>
        <v>0.32500000000000001</v>
      </c>
    </row>
    <row r="57" spans="1:7">
      <c r="B57" s="263" t="s">
        <v>41</v>
      </c>
      <c r="C57" s="265">
        <f ca="1">1-C56</f>
        <v>0.67500000000000004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09" t="s">
        <v>2835</v>
      </c>
      <c r="B1" s="3509"/>
      <c r="C1" s="3509"/>
      <c r="D1" s="3509"/>
      <c r="E1" s="3509"/>
      <c r="F1" s="3509"/>
      <c r="G1" s="3510"/>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07"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08"/>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11" t="s">
        <v>3177</v>
      </c>
      <c r="B1" s="3511"/>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0"/>
  </cols>
  <sheetData>
    <row r="1" spans="1:6">
      <c r="A1" s="3512" t="s">
        <v>3228</v>
      </c>
      <c r="B1" s="3512"/>
      <c r="C1" s="3512"/>
      <c r="D1" s="3512"/>
      <c r="E1" s="3512"/>
      <c r="F1" s="3513"/>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S53"/>
  <sheetViews>
    <sheetView zoomScale="90" zoomScaleNormal="90" workbookViewId="0">
      <selection activeCell="AE24" sqref="AE24"/>
    </sheetView>
  </sheetViews>
  <sheetFormatPr defaultRowHeight="14.4"/>
  <cols>
    <col min="1" max="1" width="13.88671875" customWidth="1"/>
    <col min="11" max="17" width="0" hidden="1" customWidth="1"/>
    <col min="25" max="30" width="0" hidden="1" customWidth="1"/>
  </cols>
  <sheetData>
    <row r="1" spans="1:45">
      <c r="A1" s="2934">
        <f>基准地价修正!G23</f>
        <v>45762</v>
      </c>
      <c r="B1" s="2926" t="s">
        <v>3375</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45" s="2007" customFormat="1" ht="15" thickBot="1">
      <c r="B2" s="2878"/>
      <c r="C2" s="2879"/>
      <c r="D2" s="2008" t="s">
        <v>2806</v>
      </c>
      <c r="E2" s="2009" t="s">
        <v>2807</v>
      </c>
      <c r="F2" s="2009" t="s">
        <v>2808</v>
      </c>
      <c r="G2" s="2009" t="s">
        <v>2809</v>
      </c>
      <c r="H2" s="2009" t="s">
        <v>2810</v>
      </c>
      <c r="I2" s="2009" t="s">
        <v>2627</v>
      </c>
      <c r="J2" s="2880"/>
      <c r="K2" s="2008" t="s">
        <v>2806</v>
      </c>
      <c r="L2" s="2009" t="s">
        <v>2807</v>
      </c>
      <c r="M2" s="2009" t="s">
        <v>2808</v>
      </c>
      <c r="N2" s="2009" t="s">
        <v>2809</v>
      </c>
      <c r="O2" s="2009" t="s">
        <v>2811</v>
      </c>
      <c r="P2" s="2009" t="s">
        <v>2627</v>
      </c>
      <c r="Q2" s="2880"/>
      <c r="R2" s="2008" t="s">
        <v>2806</v>
      </c>
      <c r="S2" s="2009" t="s">
        <v>2807</v>
      </c>
      <c r="T2" s="2009" t="s">
        <v>2808</v>
      </c>
      <c r="U2" s="2009" t="s">
        <v>2812</v>
      </c>
      <c r="V2" s="2009" t="s">
        <v>2813</v>
      </c>
      <c r="W2" s="2009" t="s">
        <v>2627</v>
      </c>
      <c r="X2" s="2880"/>
      <c r="Y2" s="2008" t="s">
        <v>2806</v>
      </c>
      <c r="Z2" s="2009" t="s">
        <v>2807</v>
      </c>
      <c r="AA2" s="2009" t="s">
        <v>2808</v>
      </c>
      <c r="AB2" s="2009" t="s">
        <v>2814</v>
      </c>
      <c r="AC2" s="2009" t="s">
        <v>2813</v>
      </c>
      <c r="AD2" s="2009" t="s">
        <v>2627</v>
      </c>
      <c r="AE2" s="3541"/>
      <c r="AF2" t="s">
        <v>3480</v>
      </c>
      <c r="AG2" t="s">
        <v>673</v>
      </c>
      <c r="AH2" t="s">
        <v>21</v>
      </c>
      <c r="AI2" t="s">
        <v>3481</v>
      </c>
      <c r="AJ2" t="s">
        <v>3</v>
      </c>
      <c r="AK2" t="s">
        <v>3482</v>
      </c>
      <c r="AL2" s="3541"/>
      <c r="AM2" t="s">
        <v>3480</v>
      </c>
      <c r="AN2" t="s">
        <v>673</v>
      </c>
      <c r="AO2" t="s">
        <v>21</v>
      </c>
      <c r="AP2" t="s">
        <v>3481</v>
      </c>
      <c r="AQ2" t="s">
        <v>3</v>
      </c>
      <c r="AR2" t="s">
        <v>3482</v>
      </c>
      <c r="AS2" s="3541"/>
    </row>
    <row r="3" spans="1:45" s="2883" customFormat="1" ht="13.2">
      <c r="A3" s="2881" t="s">
        <v>2815</v>
      </c>
      <c r="B3" s="2882"/>
      <c r="D3" s="2883">
        <f>ROUND(AVERAGEIF(D4:D24,"&lt;&gt;0"),2)</f>
        <v>0.39</v>
      </c>
      <c r="E3" s="2883">
        <f>ROUND(AVERAGEIF(E4:E24,"&lt;&gt;0"),2)</f>
        <v>0.21</v>
      </c>
      <c r="F3" s="2883">
        <f>ROUND(AVERAGEIF(F4:F24,"&lt;&gt;0"),2)</f>
        <v>-0.06</v>
      </c>
      <c r="G3" s="2883">
        <f>ROUND(AVERAGEIF(G4:G24,"&lt;&gt;0"),2)</f>
        <v>0.46</v>
      </c>
      <c r="H3" s="2883">
        <f>ROUND(AVERAGEIF(H4:H24,"&lt;&gt;0"),2)</f>
        <v>0.51</v>
      </c>
      <c r="I3" s="2883">
        <f>F3</f>
        <v>-0.06</v>
      </c>
      <c r="J3" s="2884"/>
      <c r="K3" s="2885">
        <f>ROUND(AVERAGEIF(K4:K24,"&lt;&gt;0"),4)</f>
        <v>3.8999999999999998E-3</v>
      </c>
      <c r="L3" s="2886">
        <f>ROUND(AVERAGEIF(L4:L24,"&lt;&gt;0"),4)</f>
        <v>2.0999999999999999E-3</v>
      </c>
      <c r="M3" s="2886">
        <f>ROUND(AVERAGEIF(M4:M24,"&lt;&gt;0"),4)</f>
        <v>-5.9999999999999995E-4</v>
      </c>
      <c r="N3" s="2886">
        <f>ROUND(AVERAGEIF(N4:N24,"&lt;&gt;0"),4)</f>
        <v>4.5999999999999999E-3</v>
      </c>
      <c r="O3" s="2886">
        <f>ROUND(AVERAGEIF(O4:O24,"&lt;&gt;0"),4)</f>
        <v>5.1000000000000004E-3</v>
      </c>
      <c r="P3" s="2886">
        <f>M3</f>
        <v>-5.9999999999999995E-4</v>
      </c>
      <c r="Q3" s="2884"/>
      <c r="R3" s="2887">
        <f>ROUND(SUMPRODUCT(PRODUCT(1+K4:K24)),4)</f>
        <v>1.0674999999999999</v>
      </c>
      <c r="S3" s="2888">
        <f>ROUND(SUMPRODUCT(PRODUCT(1+L4:L24)),4)</f>
        <v>1.0355000000000001</v>
      </c>
      <c r="T3" s="2888">
        <f>ROUND(SUMPRODUCT(PRODUCT(1+M4:M24)),4)</f>
        <v>0.98880000000000001</v>
      </c>
      <c r="U3" s="2888">
        <f>ROUND(SUMPRODUCT(PRODUCT(1+N4:N24)),4)</f>
        <v>1.0798000000000001</v>
      </c>
      <c r="V3" s="2888">
        <f>ROUND(SUMPRODUCT(PRODUCT(1+O4:O24)),4)</f>
        <v>1.0911</v>
      </c>
      <c r="W3" s="2887">
        <f>T3</f>
        <v>0.98880000000000001</v>
      </c>
      <c r="X3" s="2884"/>
      <c r="Y3" s="2889">
        <f>ROUND(AVERAGEIF(Y11:Y24,"&lt;&gt;0"),4)</f>
        <v>8.3999999999999995E-3</v>
      </c>
      <c r="Z3" s="2890">
        <f>ROUND(AVERAGEIF(Z11:Z24,"&lt;&gt;0"),4)</f>
        <v>3.5000000000000001E-3</v>
      </c>
      <c r="AA3" s="2891">
        <f>ROUND(AVERAGEIF(AA11:AA24,"&lt;&gt;0"),4)</f>
        <v>8.0000000000000004E-4</v>
      </c>
      <c r="AB3" s="2889">
        <f>ROUND(AVERAGEIF(AB11:AB24,"&lt;&gt;0"),4)</f>
        <v>9.1000000000000004E-3</v>
      </c>
      <c r="AC3" s="2892">
        <f>ROUND(AVERAGEIF(AC11:AC24,"&lt;&gt;0"),4)</f>
        <v>6.1000000000000004E-3</v>
      </c>
      <c r="AD3" s="2889">
        <f>AA3</f>
        <v>8.0000000000000004E-4</v>
      </c>
      <c r="AE3" s="3542"/>
      <c r="AF3" s="3542"/>
      <c r="AG3" s="3542"/>
      <c r="AH3" s="3542"/>
      <c r="AI3" s="3542"/>
      <c r="AJ3" s="3542"/>
      <c r="AK3" s="3542"/>
      <c r="AL3" s="3542"/>
      <c r="AM3" s="3542"/>
      <c r="AN3" s="3542"/>
      <c r="AO3" s="3542"/>
      <c r="AP3" s="3542"/>
      <c r="AQ3" s="3542"/>
      <c r="AR3" s="3542"/>
      <c r="AS3" s="3542"/>
    </row>
    <row r="4" spans="1:45" s="2006" customFormat="1" ht="13.2">
      <c r="B4" s="2022"/>
      <c r="J4" s="2893"/>
      <c r="K4" s="2894"/>
      <c r="L4" s="2895"/>
      <c r="M4" s="2895"/>
      <c r="N4" s="2895"/>
      <c r="O4" s="2895"/>
      <c r="P4" s="2895"/>
      <c r="Q4" s="2893"/>
      <c r="R4" s="2024"/>
      <c r="S4" s="2896"/>
      <c r="T4" s="2897"/>
      <c r="U4" s="2024"/>
      <c r="V4" s="2898"/>
      <c r="W4" s="2024"/>
      <c r="X4" s="2893"/>
      <c r="Y4" s="2025"/>
      <c r="Z4" s="2899"/>
      <c r="AA4" s="2900"/>
      <c r="AB4" s="2025"/>
      <c r="AC4" s="2901"/>
      <c r="AD4" s="2025"/>
      <c r="AE4" s="3543"/>
      <c r="AF4" s="3543"/>
      <c r="AG4" s="3543"/>
      <c r="AH4" s="3543"/>
      <c r="AI4" s="3543"/>
      <c r="AJ4" s="3543"/>
      <c r="AK4" s="3543"/>
      <c r="AL4" s="3543"/>
      <c r="AM4" s="3543"/>
      <c r="AN4" s="3543"/>
      <c r="AO4" s="3543"/>
      <c r="AP4" s="3543"/>
      <c r="AQ4" s="3543"/>
      <c r="AR4" s="3543"/>
      <c r="AS4" s="3543"/>
    </row>
    <row r="5" spans="1:45" s="3531" customFormat="1">
      <c r="A5" s="3525" t="s">
        <v>3476</v>
      </c>
      <c r="B5" s="3526">
        <v>2025</v>
      </c>
      <c r="C5" s="2004">
        <v>4</v>
      </c>
      <c r="D5" s="2004">
        <v>0</v>
      </c>
      <c r="E5" s="2004">
        <v>0</v>
      </c>
      <c r="F5" s="2004">
        <v>0</v>
      </c>
      <c r="G5" s="2004">
        <v>0</v>
      </c>
      <c r="H5" s="2004">
        <v>0</v>
      </c>
      <c r="I5" s="2005">
        <f t="shared" ref="I5:I7" si="0">F5</f>
        <v>0</v>
      </c>
      <c r="J5" s="3527"/>
      <c r="K5" s="3528">
        <f t="shared" ref="K5:O7" si="1">D5/100</f>
        <v>0</v>
      </c>
      <c r="L5" s="3529">
        <f t="shared" si="1"/>
        <v>0</v>
      </c>
      <c r="M5" s="3529">
        <f t="shared" si="1"/>
        <v>0</v>
      </c>
      <c r="N5" s="3529">
        <f t="shared" si="1"/>
        <v>0</v>
      </c>
      <c r="O5" s="3529">
        <f t="shared" si="1"/>
        <v>0</v>
      </c>
      <c r="P5" s="3529">
        <f t="shared" ref="P5:P7" si="2">M5</f>
        <v>0</v>
      </c>
      <c r="Q5" s="3527"/>
      <c r="R5" s="3530">
        <f>ROUND(IF([6]项目基本情况!$B$8="出让",SUMPRODUCT(PRODUCT(1+K5:$K$24)),SUMPRODUCT(PRODUCT(1+K5:$K$23))),4)</f>
        <v>1.0571999999999999</v>
      </c>
      <c r="S5" s="3530">
        <f>ROUND(IF([6]项目基本情况!$B$8="出让",SUMPRODUCT(PRODUCT(1+L5:$L$24)),SUMPRODUCT(PRODUCT(1+L5:$L$23))),4)</f>
        <v>1.0339</v>
      </c>
      <c r="T5" s="3530">
        <f>ROUND(IF([6]项目基本情况!$B$8="出让",SUMPRODUCT(PRODUCT(1+M5:$M$24)),SUMPRODUCT(PRODUCT(1+M5:$M$23))),4)</f>
        <v>0.99129999999999996</v>
      </c>
      <c r="U5" s="3530">
        <f>ROUND(IF([6]项目基本情况!$B$8="出让",SUMPRODUCT(PRODUCT(1+N5:$N$24)),SUMPRODUCT(PRODUCT(1+N5:$N$23))),4)</f>
        <v>1.0679000000000001</v>
      </c>
      <c r="V5" s="3530">
        <f>ROUND(IF([6]项目基本情况!$B$8="出让",SUMPRODUCT(PRODUCT(1+O5:$O$24)),SUMPRODUCT(PRODUCT(1+O5:$O$23))),4)</f>
        <v>1.0871999999999999</v>
      </c>
      <c r="W5" s="3530">
        <f t="shared" ref="W5:W7" si="3">T5</f>
        <v>0.99129999999999996</v>
      </c>
      <c r="X5" s="3527"/>
      <c r="Y5" s="3529">
        <f t="shared" ref="Y5:AC7" si="4">IF(D5=0,0,ROUND(AVERAGE(D5:D18)/100,4))</f>
        <v>0</v>
      </c>
      <c r="Z5" s="3529">
        <f t="shared" si="4"/>
        <v>0</v>
      </c>
      <c r="AA5" s="3529">
        <f t="shared" si="4"/>
        <v>0</v>
      </c>
      <c r="AB5" s="3529">
        <f t="shared" si="4"/>
        <v>0</v>
      </c>
      <c r="AC5" s="3529">
        <f t="shared" si="4"/>
        <v>0</v>
      </c>
      <c r="AD5" s="3529">
        <f t="shared" ref="AD5:AD7" si="5">AA5</f>
        <v>0</v>
      </c>
      <c r="AF5" s="3532">
        <f>$AF$24*R5</f>
        <v>105.72</v>
      </c>
      <c r="AG5" s="3532">
        <f t="shared" ref="AG5:AK20" si="6">$AF$24*S5</f>
        <v>103.39</v>
      </c>
      <c r="AH5" s="3532">
        <f t="shared" si="6"/>
        <v>99.13</v>
      </c>
      <c r="AI5" s="3532">
        <f t="shared" si="6"/>
        <v>106.79</v>
      </c>
      <c r="AJ5" s="3532">
        <f t="shared" si="6"/>
        <v>108.72</v>
      </c>
      <c r="AK5" s="3532">
        <f t="shared" si="6"/>
        <v>99.13</v>
      </c>
      <c r="AM5" s="3533">
        <v>100</v>
      </c>
      <c r="AN5" s="3533">
        <v>100</v>
      </c>
      <c r="AO5" s="3533">
        <v>100</v>
      </c>
      <c r="AP5" s="3533">
        <v>100</v>
      </c>
      <c r="AQ5" s="3533">
        <v>100</v>
      </c>
      <c r="AR5" s="3533">
        <v>100</v>
      </c>
    </row>
    <row r="6" spans="1:45" s="3531" customFormat="1" ht="13.2">
      <c r="A6" s="3525" t="s">
        <v>3477</v>
      </c>
      <c r="B6" s="3526">
        <v>2025</v>
      </c>
      <c r="C6" s="2004">
        <v>3</v>
      </c>
      <c r="D6" s="2004">
        <v>0</v>
      </c>
      <c r="E6" s="2004">
        <v>0</v>
      </c>
      <c r="F6" s="2004">
        <v>0</v>
      </c>
      <c r="G6" s="2004">
        <v>0</v>
      </c>
      <c r="H6" s="2004">
        <v>0</v>
      </c>
      <c r="I6" s="2005">
        <f t="shared" si="0"/>
        <v>0</v>
      </c>
      <c r="J6" s="3527"/>
      <c r="K6" s="3528">
        <f t="shared" si="1"/>
        <v>0</v>
      </c>
      <c r="L6" s="3529">
        <f t="shared" si="1"/>
        <v>0</v>
      </c>
      <c r="M6" s="3529">
        <f t="shared" si="1"/>
        <v>0</v>
      </c>
      <c r="N6" s="3529">
        <f t="shared" si="1"/>
        <v>0</v>
      </c>
      <c r="O6" s="3529">
        <f t="shared" si="1"/>
        <v>0</v>
      </c>
      <c r="P6" s="3529">
        <f t="shared" si="2"/>
        <v>0</v>
      </c>
      <c r="Q6" s="3527"/>
      <c r="R6" s="3530">
        <f>ROUND(IF([6]项目基本情况!$B$8="出让",SUMPRODUCT(PRODUCT(1+K6:$K$24)),SUMPRODUCT(PRODUCT(1+K6:$K$23))),4)</f>
        <v>1.0571999999999999</v>
      </c>
      <c r="S6" s="3530">
        <f>ROUND(IF([6]项目基本情况!$B$8="出让",SUMPRODUCT(PRODUCT(1+L6:$L$24)),SUMPRODUCT(PRODUCT(1+L6:$L$23))),4)</f>
        <v>1.0339</v>
      </c>
      <c r="T6" s="3530">
        <f>ROUND(IF([6]项目基本情况!$B$8="出让",SUMPRODUCT(PRODUCT(1+M6:$M$24)),SUMPRODUCT(PRODUCT(1+M6:$M$23))),4)</f>
        <v>0.99129999999999996</v>
      </c>
      <c r="U6" s="3530">
        <f>ROUND(IF([6]项目基本情况!$B$8="出让",SUMPRODUCT(PRODUCT(1+N6:$N$24)),SUMPRODUCT(PRODUCT(1+N6:$N$23))),4)</f>
        <v>1.0679000000000001</v>
      </c>
      <c r="V6" s="3530">
        <f>ROUND(IF([6]项目基本情况!$B$8="出让",SUMPRODUCT(PRODUCT(1+O6:$O$24)),SUMPRODUCT(PRODUCT(1+O6:$O$23))),4)</f>
        <v>1.0871999999999999</v>
      </c>
      <c r="W6" s="3530">
        <f t="shared" si="3"/>
        <v>0.99129999999999996</v>
      </c>
      <c r="X6" s="3527"/>
      <c r="Y6" s="3529">
        <f t="shared" si="4"/>
        <v>0</v>
      </c>
      <c r="Z6" s="3529">
        <f t="shared" si="4"/>
        <v>0</v>
      </c>
      <c r="AA6" s="3529">
        <f t="shared" si="4"/>
        <v>0</v>
      </c>
      <c r="AB6" s="3529">
        <f t="shared" si="4"/>
        <v>0</v>
      </c>
      <c r="AC6" s="3529">
        <f t="shared" si="4"/>
        <v>0</v>
      </c>
      <c r="AD6" s="3529">
        <f t="shared" si="5"/>
        <v>0</v>
      </c>
      <c r="AF6" s="3532">
        <f t="shared" ref="AF6:AK23" si="7">$AF$24*R6</f>
        <v>105.72</v>
      </c>
      <c r="AG6" s="3532">
        <f t="shared" si="6"/>
        <v>103.39</v>
      </c>
      <c r="AH6" s="3532">
        <f t="shared" si="6"/>
        <v>99.13</v>
      </c>
      <c r="AI6" s="3532">
        <f t="shared" si="6"/>
        <v>106.79</v>
      </c>
      <c r="AJ6" s="3532">
        <f t="shared" si="6"/>
        <v>108.72</v>
      </c>
      <c r="AK6" s="3532">
        <f t="shared" si="6"/>
        <v>99.13</v>
      </c>
      <c r="AM6" s="3532">
        <f>AM5/(1+D5/100)</f>
        <v>100</v>
      </c>
      <c r="AN6" s="3532">
        <f t="shared" ref="AN6:AR21" si="8">AN5/(1+E5/100)</f>
        <v>100</v>
      </c>
      <c r="AO6" s="3532">
        <f t="shared" si="8"/>
        <v>100</v>
      </c>
      <c r="AP6" s="3532">
        <f t="shared" si="8"/>
        <v>100</v>
      </c>
      <c r="AQ6" s="3532">
        <f t="shared" si="8"/>
        <v>100</v>
      </c>
      <c r="AR6" s="3532">
        <f t="shared" si="8"/>
        <v>100</v>
      </c>
    </row>
    <row r="7" spans="1:45" s="3539" customFormat="1" ht="13.2">
      <c r="A7" s="3534" t="s">
        <v>3478</v>
      </c>
      <c r="B7" s="3535">
        <v>2025</v>
      </c>
      <c r="C7" s="2907">
        <v>2</v>
      </c>
      <c r="D7" s="2907">
        <v>0</v>
      </c>
      <c r="E7" s="2907">
        <v>0</v>
      </c>
      <c r="F7" s="2907">
        <v>0</v>
      </c>
      <c r="G7" s="2907">
        <v>0</v>
      </c>
      <c r="H7" s="2908">
        <v>0</v>
      </c>
      <c r="I7" s="2909">
        <f t="shared" si="0"/>
        <v>0</v>
      </c>
      <c r="J7" s="3536"/>
      <c r="K7" s="3537">
        <f t="shared" si="1"/>
        <v>0</v>
      </c>
      <c r="L7" s="3538">
        <f t="shared" si="1"/>
        <v>0</v>
      </c>
      <c r="M7" s="3538">
        <f t="shared" si="1"/>
        <v>0</v>
      </c>
      <c r="N7" s="3538">
        <f t="shared" si="1"/>
        <v>0</v>
      </c>
      <c r="O7" s="3538">
        <f t="shared" si="1"/>
        <v>0</v>
      </c>
      <c r="P7" s="3538">
        <f t="shared" si="2"/>
        <v>0</v>
      </c>
      <c r="Q7" s="3536"/>
      <c r="R7" s="3536">
        <f>ROUND(IF([6]项目基本情况!$B$8="出让",SUMPRODUCT(PRODUCT(1+K7:$K$24)),SUMPRODUCT(PRODUCT(1+K7:$K$23))),4)</f>
        <v>1.0571999999999999</v>
      </c>
      <c r="S7" s="3536">
        <f>ROUND(IF([6]项目基本情况!$B$8="出让",SUMPRODUCT(PRODUCT(1+L7:$L$24)),SUMPRODUCT(PRODUCT(1+L7:$L$23))),4)</f>
        <v>1.0339</v>
      </c>
      <c r="T7" s="3536">
        <f>ROUND(IF([6]项目基本情况!$B$8="出让",SUMPRODUCT(PRODUCT(1+M7:$M$24)),SUMPRODUCT(PRODUCT(1+M7:$M$23))),4)</f>
        <v>0.99129999999999996</v>
      </c>
      <c r="U7" s="3536">
        <f>ROUND(IF([6]项目基本情况!$B$8="出让",SUMPRODUCT(PRODUCT(1+N7:$N$24)),SUMPRODUCT(PRODUCT(1+N7:$N$23))),4)</f>
        <v>1.0679000000000001</v>
      </c>
      <c r="V7" s="3536">
        <f>ROUND(IF([6]项目基本情况!$B$8="出让",SUMPRODUCT(PRODUCT(1+O7:$O$24)),SUMPRODUCT(PRODUCT(1+O7:$O$23))),4)</f>
        <v>1.0871999999999999</v>
      </c>
      <c r="W7" s="3536">
        <f t="shared" si="3"/>
        <v>0.99129999999999996</v>
      </c>
      <c r="X7" s="3536"/>
      <c r="Y7" s="3538">
        <f t="shared" si="4"/>
        <v>0</v>
      </c>
      <c r="Z7" s="3538">
        <f t="shared" si="4"/>
        <v>0</v>
      </c>
      <c r="AA7" s="3538">
        <f t="shared" si="4"/>
        <v>0</v>
      </c>
      <c r="AB7" s="3538">
        <f t="shared" si="4"/>
        <v>0</v>
      </c>
      <c r="AC7" s="3538">
        <f t="shared" si="4"/>
        <v>0</v>
      </c>
      <c r="AD7" s="3538">
        <f t="shared" si="5"/>
        <v>0</v>
      </c>
      <c r="AF7" s="3540">
        <f t="shared" si="7"/>
        <v>105.72</v>
      </c>
      <c r="AG7" s="3540">
        <f t="shared" si="6"/>
        <v>103.39</v>
      </c>
      <c r="AH7" s="3540">
        <f t="shared" si="6"/>
        <v>99.13</v>
      </c>
      <c r="AI7" s="3540">
        <f t="shared" si="6"/>
        <v>106.79</v>
      </c>
      <c r="AJ7" s="3540">
        <f t="shared" si="6"/>
        <v>108.72</v>
      </c>
      <c r="AK7" s="3540">
        <f t="shared" si="6"/>
        <v>99.13</v>
      </c>
      <c r="AM7" s="3540">
        <f t="shared" ref="AM7:AR22" si="9">AM6/(1+D6/100)</f>
        <v>100</v>
      </c>
      <c r="AN7" s="3540">
        <f t="shared" si="8"/>
        <v>100</v>
      </c>
      <c r="AO7" s="3540">
        <f t="shared" si="8"/>
        <v>100</v>
      </c>
      <c r="AP7" s="3540">
        <f t="shared" si="8"/>
        <v>100</v>
      </c>
      <c r="AQ7" s="3540">
        <f t="shared" si="8"/>
        <v>100</v>
      </c>
      <c r="AR7" s="3540">
        <f t="shared" si="8"/>
        <v>100</v>
      </c>
    </row>
    <row r="8" spans="1:45" s="2042" customFormat="1" ht="13.2">
      <c r="A8" s="2037" t="s">
        <v>3479</v>
      </c>
      <c r="B8" s="2028">
        <v>2025</v>
      </c>
      <c r="C8" s="2039">
        <v>1</v>
      </c>
      <c r="D8" s="2004">
        <v>0.56999999999999995</v>
      </c>
      <c r="E8" s="2004">
        <v>-0.56999999999999995</v>
      </c>
      <c r="F8" s="2004">
        <v>-0.9</v>
      </c>
      <c r="G8" s="2004">
        <v>1.1200000000000001</v>
      </c>
      <c r="H8" s="2004">
        <v>0.42</v>
      </c>
      <c r="I8" s="2005">
        <v>-0.9</v>
      </c>
      <c r="J8" s="2903"/>
      <c r="K8" s="2040">
        <v>5.6999999999999993E-3</v>
      </c>
      <c r="L8" s="2025">
        <v>-5.6999999999999993E-3</v>
      </c>
      <c r="M8" s="2025">
        <v>-9.0000000000000011E-3</v>
      </c>
      <c r="N8" s="2025">
        <v>1.1200000000000002E-2</v>
      </c>
      <c r="O8" s="2025">
        <v>4.1999999999999997E-3</v>
      </c>
      <c r="P8" s="2025">
        <v>-9.0000000000000011E-3</v>
      </c>
      <c r="Q8" s="2903"/>
      <c r="R8" s="2024">
        <v>1.0571999999999999</v>
      </c>
      <c r="S8" s="2024">
        <v>1.0339</v>
      </c>
      <c r="T8" s="2024">
        <v>0.99129999999999996</v>
      </c>
      <c r="U8" s="2024">
        <v>1.0679000000000001</v>
      </c>
      <c r="V8" s="2024">
        <v>1.0871999999999999</v>
      </c>
      <c r="W8" s="2024">
        <v>0.99129999999999996</v>
      </c>
      <c r="X8" s="2903"/>
      <c r="Y8" s="2025">
        <v>3.0000000000000001E-3</v>
      </c>
      <c r="Z8" s="2025">
        <v>1.6000000000000001E-3</v>
      </c>
      <c r="AA8" s="2025">
        <v>-1.1000000000000001E-3</v>
      </c>
      <c r="AB8" s="2025">
        <v>3.7000000000000002E-3</v>
      </c>
      <c r="AC8" s="2025">
        <v>4.8999999999999998E-3</v>
      </c>
      <c r="AD8" s="2025">
        <v>-1.1000000000000001E-3</v>
      </c>
      <c r="AE8" s="3531"/>
      <c r="AF8" s="3532">
        <f t="shared" si="7"/>
        <v>105.72</v>
      </c>
      <c r="AG8" s="3532">
        <f t="shared" si="6"/>
        <v>103.39</v>
      </c>
      <c r="AH8" s="3532">
        <f t="shared" si="6"/>
        <v>99.13</v>
      </c>
      <c r="AI8" s="3532">
        <f t="shared" si="6"/>
        <v>106.79</v>
      </c>
      <c r="AJ8" s="3532">
        <f t="shared" si="6"/>
        <v>108.72</v>
      </c>
      <c r="AK8" s="3532">
        <f t="shared" si="6"/>
        <v>99.13</v>
      </c>
      <c r="AL8" s="3531"/>
      <c r="AM8" s="3532">
        <f t="shared" si="9"/>
        <v>100</v>
      </c>
      <c r="AN8" s="3532">
        <f t="shared" si="8"/>
        <v>100</v>
      </c>
      <c r="AO8" s="3532">
        <f t="shared" si="8"/>
        <v>100</v>
      </c>
      <c r="AP8" s="3532">
        <f t="shared" si="8"/>
        <v>100</v>
      </c>
      <c r="AQ8" s="3532">
        <f t="shared" si="8"/>
        <v>100</v>
      </c>
      <c r="AR8" s="3532">
        <f t="shared" si="8"/>
        <v>100</v>
      </c>
      <c r="AS8" s="3531"/>
    </row>
    <row r="9" spans="1:45" s="2913" customFormat="1" ht="13.2">
      <c r="A9" s="2904" t="s">
        <v>3380</v>
      </c>
      <c r="B9" s="2905">
        <v>2024</v>
      </c>
      <c r="C9" s="2906">
        <v>4</v>
      </c>
      <c r="D9" s="2907">
        <v>-1.02</v>
      </c>
      <c r="E9" s="2907">
        <v>-0.48</v>
      </c>
      <c r="F9" s="2907">
        <v>-0.75</v>
      </c>
      <c r="G9" s="2907">
        <v>-1.05</v>
      </c>
      <c r="H9" s="2908">
        <v>0.08</v>
      </c>
      <c r="I9" s="2909">
        <f>F9</f>
        <v>-0.75</v>
      </c>
      <c r="J9" s="2910"/>
      <c r="K9" s="2911">
        <f t="shared" ref="K8:O10" si="10">D9/100</f>
        <v>-1.0200000000000001E-2</v>
      </c>
      <c r="L9" s="2912">
        <f t="shared" si="10"/>
        <v>-4.7999999999999996E-3</v>
      </c>
      <c r="M9" s="2912">
        <f t="shared" si="10"/>
        <v>-7.4999999999999997E-3</v>
      </c>
      <c r="N9" s="2912">
        <f t="shared" si="10"/>
        <v>-1.0500000000000001E-2</v>
      </c>
      <c r="O9" s="2912">
        <f t="shared" si="10"/>
        <v>8.0000000000000004E-4</v>
      </c>
      <c r="P9" s="2912">
        <f t="shared" ref="P8:P16" si="11">M9</f>
        <v>-7.4999999999999997E-3</v>
      </c>
      <c r="Q9" s="2910"/>
      <c r="R9" s="2910">
        <f>ROUND(IF(项目基本情况!$B$8="出让",SUMPRODUCT(PRODUCT(1+K9:$K$24)),SUMPRODUCT(PRODUCT(1+K9:$K$23))),4)</f>
        <v>1.0511999999999999</v>
      </c>
      <c r="S9" s="2910">
        <f>ROUND(IF(项目基本情况!$B$8="出让",SUMPRODUCT(PRODUCT(1+L9:$L$24)),SUMPRODUCT(PRODUCT(1+L9:$L$23))),4)</f>
        <v>1.0398000000000001</v>
      </c>
      <c r="T9" s="2910">
        <f>ROUND(IF(项目基本情况!$B$8="出让",SUMPRODUCT(PRODUCT(1+M9:$M$24)),SUMPRODUCT(PRODUCT(1+M9:$M$23))),4)</f>
        <v>1.0003</v>
      </c>
      <c r="U9" s="2910">
        <f>ROUND(IF(项目基本情况!$B$8="出让",SUMPRODUCT(PRODUCT(1+N9:$N$24)),SUMPRODUCT(PRODUCT(1+N9:$N$23))),4)</f>
        <v>1.0561</v>
      </c>
      <c r="V9" s="2910">
        <f>ROUND(IF(项目基本情况!$B$8="出让",SUMPRODUCT(PRODUCT(1+O9:$O$24)),SUMPRODUCT(PRODUCT(1+O9:$O$23))),4)</f>
        <v>1.0827</v>
      </c>
      <c r="W9" s="2910">
        <f t="shared" ref="W8:W15" si="12">T9</f>
        <v>1.0003</v>
      </c>
      <c r="X9" s="2910"/>
      <c r="Y9" s="2912">
        <f t="shared" ref="Y8:AC11" si="13">IF(D9=0,0,ROUND(AVERAGE(D9:D22)/100,4))</f>
        <v>2.8999999999999998E-3</v>
      </c>
      <c r="Z9" s="2912">
        <f t="shared" si="13"/>
        <v>2.3E-3</v>
      </c>
      <c r="AA9" s="2912">
        <f t="shared" si="13"/>
        <v>-2.9999999999999997E-4</v>
      </c>
      <c r="AB9" s="2912">
        <f t="shared" si="13"/>
        <v>3.3E-3</v>
      </c>
      <c r="AC9" s="2912">
        <f t="shared" si="13"/>
        <v>5.0000000000000001E-3</v>
      </c>
      <c r="AD9" s="2912">
        <f>AA9</f>
        <v>-2.9999999999999997E-4</v>
      </c>
      <c r="AE9" s="3531"/>
      <c r="AF9" s="3532">
        <f t="shared" si="7"/>
        <v>105.11999999999999</v>
      </c>
      <c r="AG9" s="3532">
        <f t="shared" si="6"/>
        <v>103.98</v>
      </c>
      <c r="AH9" s="3532">
        <f t="shared" si="6"/>
        <v>100.03</v>
      </c>
      <c r="AI9" s="3532">
        <f t="shared" si="6"/>
        <v>105.61</v>
      </c>
      <c r="AJ9" s="3532">
        <f t="shared" si="6"/>
        <v>108.27</v>
      </c>
      <c r="AK9" s="3532">
        <f t="shared" si="6"/>
        <v>100.03</v>
      </c>
      <c r="AL9" s="3531"/>
      <c r="AM9" s="3532">
        <f t="shared" si="9"/>
        <v>99.433230585661718</v>
      </c>
      <c r="AN9" s="3532">
        <f t="shared" si="8"/>
        <v>100.57326762546515</v>
      </c>
      <c r="AO9" s="3532">
        <f t="shared" si="8"/>
        <v>100.90817356205852</v>
      </c>
      <c r="AP9" s="3532">
        <f t="shared" si="8"/>
        <v>98.892405063291136</v>
      </c>
      <c r="AQ9" s="3532">
        <f t="shared" si="8"/>
        <v>99.581756622186816</v>
      </c>
      <c r="AR9" s="3532">
        <f t="shared" si="8"/>
        <v>100.90817356205852</v>
      </c>
      <c r="AS9" s="3531"/>
    </row>
    <row r="10" spans="1:45" s="2042" customFormat="1" ht="13.2">
      <c r="A10" s="2037" t="s">
        <v>3379</v>
      </c>
      <c r="B10" s="2028">
        <v>2024</v>
      </c>
      <c r="C10" s="2039">
        <v>3</v>
      </c>
      <c r="D10" s="2004">
        <v>-1.19</v>
      </c>
      <c r="E10" s="2004">
        <v>-0.47</v>
      </c>
      <c r="F10" s="2004">
        <v>-0.28999999999999998</v>
      </c>
      <c r="G10" s="2004">
        <v>-0.74</v>
      </c>
      <c r="H10" s="2004">
        <v>-0.21</v>
      </c>
      <c r="I10" s="2005">
        <f>F10</f>
        <v>-0.28999999999999998</v>
      </c>
      <c r="J10" s="2903"/>
      <c r="K10" s="2040">
        <f t="shared" si="10"/>
        <v>-1.1899999999999999E-2</v>
      </c>
      <c r="L10" s="2025">
        <f t="shared" si="10"/>
        <v>-4.6999999999999993E-3</v>
      </c>
      <c r="M10" s="2025">
        <f t="shared" si="10"/>
        <v>-2.8999999999999998E-3</v>
      </c>
      <c r="N10" s="2025">
        <f t="shared" si="10"/>
        <v>-7.4000000000000003E-3</v>
      </c>
      <c r="O10" s="2025">
        <f t="shared" si="10"/>
        <v>-2.0999999999999999E-3</v>
      </c>
      <c r="P10" s="2025">
        <f t="shared" si="11"/>
        <v>-2.8999999999999998E-3</v>
      </c>
      <c r="Q10" s="2903"/>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2"/>
        <v>1.0079</v>
      </c>
      <c r="X10" s="2903"/>
      <c r="Y10" s="2025">
        <f t="shared" si="13"/>
        <v>4.3E-3</v>
      </c>
      <c r="Z10" s="2025">
        <f t="shared" si="13"/>
        <v>3.0999999999999999E-3</v>
      </c>
      <c r="AA10" s="2025">
        <f t="shared" si="13"/>
        <v>5.9999999999999995E-4</v>
      </c>
      <c r="AB10" s="2025">
        <f t="shared" si="13"/>
        <v>4.7000000000000002E-3</v>
      </c>
      <c r="AC10" s="2025">
        <f t="shared" si="13"/>
        <v>5.5999999999999999E-3</v>
      </c>
      <c r="AD10" s="2025">
        <f>AA10</f>
        <v>5.9999999999999995E-4</v>
      </c>
      <c r="AE10" s="3531"/>
      <c r="AF10" s="3532">
        <f t="shared" si="7"/>
        <v>106.2</v>
      </c>
      <c r="AG10" s="3532">
        <f t="shared" si="6"/>
        <v>104.47999999999999</v>
      </c>
      <c r="AH10" s="3532">
        <f t="shared" si="6"/>
        <v>100.79</v>
      </c>
      <c r="AI10" s="3532">
        <f t="shared" si="6"/>
        <v>106.72999999999999</v>
      </c>
      <c r="AJ10" s="3532">
        <f t="shared" si="6"/>
        <v>108.18</v>
      </c>
      <c r="AK10" s="3532">
        <f t="shared" si="6"/>
        <v>100.79</v>
      </c>
      <c r="AL10" s="3531"/>
      <c r="AM10" s="3532">
        <f t="shared" si="9"/>
        <v>100.45790117767399</v>
      </c>
      <c r="AN10" s="3532">
        <f t="shared" si="8"/>
        <v>101.05834769439826</v>
      </c>
      <c r="AO10" s="3532">
        <f t="shared" si="8"/>
        <v>101.670703840865</v>
      </c>
      <c r="AP10" s="3532">
        <f t="shared" si="8"/>
        <v>99.941793899233076</v>
      </c>
      <c r="AQ10" s="3532">
        <f t="shared" si="8"/>
        <v>99.502154898268216</v>
      </c>
      <c r="AR10" s="3532">
        <f t="shared" si="8"/>
        <v>101.670703840865</v>
      </c>
      <c r="AS10" s="3531"/>
    </row>
    <row r="11" spans="1:45" s="2042" customFormat="1" ht="13.2">
      <c r="A11" s="2902" t="s">
        <v>3372</v>
      </c>
      <c r="B11" s="2028">
        <v>2024</v>
      </c>
      <c r="C11" s="2039">
        <v>2</v>
      </c>
      <c r="D11" s="2004">
        <v>-0.59</v>
      </c>
      <c r="E11" s="2004">
        <v>-0.21</v>
      </c>
      <c r="F11" s="2004">
        <v>-1.38</v>
      </c>
      <c r="G11" s="2004">
        <v>-1.24</v>
      </c>
      <c r="H11" s="2914">
        <v>0.34</v>
      </c>
      <c r="I11" s="2005">
        <f t="shared" ref="I11:I24" si="14">F11</f>
        <v>-1.38</v>
      </c>
      <c r="J11" s="2903"/>
      <c r="K11" s="2040">
        <f t="shared" ref="K11:O24" si="15">D11/100</f>
        <v>-5.8999999999999999E-3</v>
      </c>
      <c r="L11" s="2025">
        <f t="shared" si="15"/>
        <v>-2.0999999999999999E-3</v>
      </c>
      <c r="M11" s="2025">
        <f t="shared" si="15"/>
        <v>-1.38E-2</v>
      </c>
      <c r="N11" s="2025">
        <f t="shared" si="15"/>
        <v>-1.24E-2</v>
      </c>
      <c r="O11" s="2025">
        <f t="shared" si="15"/>
        <v>3.4000000000000002E-3</v>
      </c>
      <c r="P11" s="2025">
        <f t="shared" si="11"/>
        <v>-1.38E-2</v>
      </c>
      <c r="Q11" s="2903"/>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2"/>
        <v>1.0107999999999999</v>
      </c>
      <c r="X11" s="2903"/>
      <c r="Y11" s="2025">
        <f t="shared" si="13"/>
        <v>5.8999999999999999E-3</v>
      </c>
      <c r="Z11" s="2025">
        <f t="shared" si="13"/>
        <v>3.5999999999999999E-3</v>
      </c>
      <c r="AA11" s="2025">
        <f t="shared" si="13"/>
        <v>5.9999999999999995E-4</v>
      </c>
      <c r="AB11" s="2025">
        <f t="shared" si="13"/>
        <v>6.0000000000000001E-3</v>
      </c>
      <c r="AC11" s="2025">
        <f t="shared" si="13"/>
        <v>6.0000000000000001E-3</v>
      </c>
      <c r="AD11" s="2025">
        <f t="shared" ref="AD11:AD23" si="16">AA11</f>
        <v>5.9999999999999995E-4</v>
      </c>
      <c r="AE11" s="3531"/>
      <c r="AF11" s="3532">
        <f t="shared" si="7"/>
        <v>107.48</v>
      </c>
      <c r="AG11" s="3532">
        <f t="shared" si="6"/>
        <v>104.98</v>
      </c>
      <c r="AH11" s="3532">
        <f t="shared" si="6"/>
        <v>101.08</v>
      </c>
      <c r="AI11" s="3532">
        <f t="shared" si="6"/>
        <v>107.52999999999999</v>
      </c>
      <c r="AJ11" s="3532">
        <f t="shared" si="6"/>
        <v>108.41000000000001</v>
      </c>
      <c r="AK11" s="3532">
        <f t="shared" si="6"/>
        <v>101.08</v>
      </c>
      <c r="AL11" s="3531"/>
      <c r="AM11" s="3532">
        <f t="shared" si="9"/>
        <v>101.66774737139357</v>
      </c>
      <c r="AN11" s="3532">
        <f t="shared" si="8"/>
        <v>101.53556484918946</v>
      </c>
      <c r="AO11" s="3532">
        <f t="shared" si="8"/>
        <v>101.9664064194815</v>
      </c>
      <c r="AP11" s="3532">
        <f t="shared" si="8"/>
        <v>100.68687678746028</v>
      </c>
      <c r="AQ11" s="3532">
        <f t="shared" si="8"/>
        <v>99.711549151486338</v>
      </c>
      <c r="AR11" s="3532">
        <f t="shared" si="8"/>
        <v>101.9664064194815</v>
      </c>
      <c r="AS11" s="3531"/>
    </row>
    <row r="12" spans="1:45" s="2042" customFormat="1" ht="13.2">
      <c r="A12" s="2902" t="s">
        <v>3370</v>
      </c>
      <c r="B12" s="2028">
        <v>2024</v>
      </c>
      <c r="C12" s="2039">
        <v>1</v>
      </c>
      <c r="D12" s="2004">
        <v>0.08</v>
      </c>
      <c r="E12" s="2004">
        <v>0.46</v>
      </c>
      <c r="F12" s="2004">
        <v>-0.16</v>
      </c>
      <c r="G12" s="2004">
        <v>0.26</v>
      </c>
      <c r="H12" s="2914">
        <v>0.59</v>
      </c>
      <c r="I12" s="2005">
        <v>0</v>
      </c>
      <c r="J12" s="2903"/>
      <c r="K12" s="2040">
        <f>D12/100</f>
        <v>8.0000000000000004E-4</v>
      </c>
      <c r="L12" s="2025">
        <f>E12/100</f>
        <v>4.5999999999999999E-3</v>
      </c>
      <c r="M12" s="2025">
        <f>F12/100</f>
        <v>-1.6000000000000001E-3</v>
      </c>
      <c r="N12" s="2025">
        <f>G12/100</f>
        <v>2.5999999999999999E-3</v>
      </c>
      <c r="O12" s="2025">
        <f>H12/100</f>
        <v>5.8999999999999999E-3</v>
      </c>
      <c r="P12" s="2025">
        <f t="shared" si="11"/>
        <v>-1.6000000000000001E-3</v>
      </c>
      <c r="Q12" s="2903"/>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si="12"/>
        <v>1.0249999999999999</v>
      </c>
      <c r="X12" s="2903"/>
      <c r="Y12" s="2025"/>
      <c r="Z12" s="2025"/>
      <c r="AA12" s="2025"/>
      <c r="AB12" s="2025"/>
      <c r="AC12" s="2025"/>
      <c r="AD12" s="2025"/>
      <c r="AE12" s="3531"/>
      <c r="AF12" s="3532">
        <f t="shared" si="7"/>
        <v>108.11999999999999</v>
      </c>
      <c r="AG12" s="3532">
        <f t="shared" si="6"/>
        <v>105.2</v>
      </c>
      <c r="AH12" s="3532">
        <f t="shared" si="6"/>
        <v>102.49999999999999</v>
      </c>
      <c r="AI12" s="3532">
        <f t="shared" si="6"/>
        <v>108.88</v>
      </c>
      <c r="AJ12" s="3532">
        <f t="shared" si="6"/>
        <v>108.04</v>
      </c>
      <c r="AK12" s="3532">
        <f t="shared" si="6"/>
        <v>102.49999999999999</v>
      </c>
      <c r="AL12" s="3531"/>
      <c r="AM12" s="3532">
        <f t="shared" si="9"/>
        <v>102.27114713951673</v>
      </c>
      <c r="AN12" s="3532">
        <f t="shared" si="8"/>
        <v>101.74923824951344</v>
      </c>
      <c r="AO12" s="3532">
        <f t="shared" si="8"/>
        <v>103.3932330353696</v>
      </c>
      <c r="AP12" s="3532">
        <f t="shared" si="8"/>
        <v>101.95107005615662</v>
      </c>
      <c r="AQ12" s="3532">
        <f t="shared" si="8"/>
        <v>99.373678644096401</v>
      </c>
      <c r="AR12" s="3532">
        <f t="shared" si="8"/>
        <v>103.3932330353696</v>
      </c>
      <c r="AS12" s="3531"/>
    </row>
    <row r="13" spans="1:45" s="2042" customFormat="1" ht="13.2">
      <c r="A13" s="2902" t="s">
        <v>3366</v>
      </c>
      <c r="B13" s="2028">
        <v>2023</v>
      </c>
      <c r="C13" s="2039">
        <v>4</v>
      </c>
      <c r="D13" s="2004">
        <v>0.19</v>
      </c>
      <c r="E13" s="2004">
        <v>0.24</v>
      </c>
      <c r="F13" s="2004">
        <v>-0.16</v>
      </c>
      <c r="G13" s="2004">
        <v>0.17</v>
      </c>
      <c r="H13" s="2914">
        <v>0.61</v>
      </c>
      <c r="I13" s="2005">
        <f>F13</f>
        <v>-0.16</v>
      </c>
      <c r="J13" s="2903"/>
      <c r="K13" s="2040">
        <f t="shared" si="15"/>
        <v>1.9E-3</v>
      </c>
      <c r="L13" s="2025">
        <f t="shared" si="15"/>
        <v>2.3999999999999998E-3</v>
      </c>
      <c r="M13" s="2025">
        <f t="shared" si="15"/>
        <v>-1.6000000000000001E-3</v>
      </c>
      <c r="N13" s="2025">
        <f t="shared" si="15"/>
        <v>1.7000000000000001E-3</v>
      </c>
      <c r="O13" s="2025">
        <f t="shared" si="15"/>
        <v>6.0999999999999995E-3</v>
      </c>
      <c r="P13" s="2025">
        <f t="shared" si="11"/>
        <v>-1.6000000000000001E-3</v>
      </c>
      <c r="Q13" s="2903"/>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si="12"/>
        <v>1.0266</v>
      </c>
      <c r="X13" s="2903"/>
      <c r="Y13" s="2025"/>
      <c r="Z13" s="2025"/>
      <c r="AA13" s="2025"/>
      <c r="AB13" s="2025"/>
      <c r="AC13" s="2025"/>
      <c r="AD13" s="2025"/>
      <c r="AE13" s="3531"/>
      <c r="AF13" s="3532">
        <f t="shared" si="7"/>
        <v>108.04</v>
      </c>
      <c r="AG13" s="3532">
        <f t="shared" si="6"/>
        <v>104.71999999999998</v>
      </c>
      <c r="AH13" s="3532">
        <f t="shared" si="6"/>
        <v>102.66</v>
      </c>
      <c r="AI13" s="3532">
        <f t="shared" si="6"/>
        <v>108.59</v>
      </c>
      <c r="AJ13" s="3532">
        <f t="shared" si="6"/>
        <v>107.41000000000001</v>
      </c>
      <c r="AK13" s="3532">
        <f t="shared" si="6"/>
        <v>102.66</v>
      </c>
      <c r="AL13" s="3531"/>
      <c r="AM13" s="3532">
        <f t="shared" si="9"/>
        <v>102.18939562301833</v>
      </c>
      <c r="AN13" s="3532">
        <f t="shared" si="8"/>
        <v>101.28333490893236</v>
      </c>
      <c r="AO13" s="3532">
        <f t="shared" si="8"/>
        <v>103.55892731908014</v>
      </c>
      <c r="AP13" s="3532">
        <f t="shared" si="8"/>
        <v>101.68668467599903</v>
      </c>
      <c r="AQ13" s="3532">
        <f t="shared" si="8"/>
        <v>98.79081284829148</v>
      </c>
      <c r="AR13" s="3532">
        <f t="shared" si="8"/>
        <v>103.3932330353696</v>
      </c>
      <c r="AS13" s="3531"/>
    </row>
    <row r="14" spans="1:45" s="2042" customFormat="1" ht="13.2">
      <c r="A14" s="2902" t="s">
        <v>3365</v>
      </c>
      <c r="B14" s="2028">
        <v>2023</v>
      </c>
      <c r="C14" s="2039">
        <v>3</v>
      </c>
      <c r="D14" s="2004">
        <v>0.25</v>
      </c>
      <c r="E14" s="2004">
        <v>0.5</v>
      </c>
      <c r="F14" s="2004">
        <v>0.31</v>
      </c>
      <c r="G14" s="2004">
        <v>0.21</v>
      </c>
      <c r="H14" s="2914">
        <v>0.43</v>
      </c>
      <c r="I14" s="2005">
        <f t="shared" si="14"/>
        <v>0.31</v>
      </c>
      <c r="J14" s="2903"/>
      <c r="K14" s="2040">
        <f t="shared" ref="K14:O16" si="17">D14/100</f>
        <v>2.5000000000000001E-3</v>
      </c>
      <c r="L14" s="2025">
        <f t="shared" si="17"/>
        <v>5.0000000000000001E-3</v>
      </c>
      <c r="M14" s="2025">
        <f t="shared" si="17"/>
        <v>3.0999999999999999E-3</v>
      </c>
      <c r="N14" s="2025">
        <f t="shared" si="17"/>
        <v>2.0999999999999999E-3</v>
      </c>
      <c r="O14" s="2025">
        <f t="shared" si="17"/>
        <v>4.3E-3</v>
      </c>
      <c r="P14" s="2025">
        <f t="shared" si="11"/>
        <v>3.0999999999999999E-3</v>
      </c>
      <c r="Q14" s="2903"/>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si="12"/>
        <v>1.0282</v>
      </c>
      <c r="X14" s="2903"/>
      <c r="Y14" s="2025"/>
      <c r="Z14" s="2025"/>
      <c r="AA14" s="2025"/>
      <c r="AB14" s="2025"/>
      <c r="AC14" s="2025"/>
      <c r="AD14" s="2025"/>
      <c r="AE14" s="3531"/>
      <c r="AF14" s="3532">
        <f t="shared" si="7"/>
        <v>107.83</v>
      </c>
      <c r="AG14" s="3532">
        <f t="shared" si="6"/>
        <v>104.47</v>
      </c>
      <c r="AH14" s="3532">
        <f t="shared" si="6"/>
        <v>102.82</v>
      </c>
      <c r="AI14" s="3532">
        <f t="shared" si="6"/>
        <v>108.41000000000001</v>
      </c>
      <c r="AJ14" s="3532">
        <f t="shared" si="6"/>
        <v>106.74999999999999</v>
      </c>
      <c r="AK14" s="3532">
        <f t="shared" si="6"/>
        <v>102.82</v>
      </c>
      <c r="AL14" s="3531"/>
      <c r="AM14" s="3532">
        <f t="shared" si="9"/>
        <v>101.99560397546495</v>
      </c>
      <c r="AN14" s="3532">
        <f t="shared" si="8"/>
        <v>101.04083690037147</v>
      </c>
      <c r="AO14" s="3532">
        <f t="shared" si="8"/>
        <v>103.72488713850174</v>
      </c>
      <c r="AP14" s="3532">
        <f t="shared" si="8"/>
        <v>101.51411068782971</v>
      </c>
      <c r="AQ14" s="3532">
        <f t="shared" si="8"/>
        <v>98.191842608380355</v>
      </c>
      <c r="AR14" s="3532">
        <f t="shared" si="8"/>
        <v>103.55892731908014</v>
      </c>
      <c r="AS14" s="3531"/>
    </row>
    <row r="15" spans="1:45" s="2042" customFormat="1" ht="13.2">
      <c r="A15" s="2902" t="s">
        <v>3363</v>
      </c>
      <c r="B15" s="2028">
        <v>2023</v>
      </c>
      <c r="C15" s="2039">
        <v>2</v>
      </c>
      <c r="D15" s="2004">
        <v>0.91</v>
      </c>
      <c r="E15" s="2004">
        <v>0.66</v>
      </c>
      <c r="F15" s="2004">
        <v>0.47</v>
      </c>
      <c r="G15" s="2004">
        <v>0.96</v>
      </c>
      <c r="H15" s="2914">
        <v>0.71</v>
      </c>
      <c r="I15" s="2005">
        <f t="shared" si="14"/>
        <v>0.47</v>
      </c>
      <c r="J15" s="2903"/>
      <c r="K15" s="2040">
        <f t="shared" si="17"/>
        <v>9.1000000000000004E-3</v>
      </c>
      <c r="L15" s="2025">
        <f t="shared" si="17"/>
        <v>6.6E-3</v>
      </c>
      <c r="M15" s="2025">
        <f t="shared" si="17"/>
        <v>4.6999999999999993E-3</v>
      </c>
      <c r="N15" s="2025">
        <f t="shared" si="17"/>
        <v>9.5999999999999992E-3</v>
      </c>
      <c r="O15" s="2025">
        <f t="shared" si="17"/>
        <v>7.0999999999999995E-3</v>
      </c>
      <c r="P15" s="2025">
        <f t="shared" si="11"/>
        <v>4.6999999999999993E-3</v>
      </c>
      <c r="Q15" s="2903"/>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2"/>
        <v>1.0250999999999999</v>
      </c>
      <c r="X15" s="2903"/>
      <c r="Y15" s="2025"/>
      <c r="Z15" s="2025"/>
      <c r="AA15" s="2025"/>
      <c r="AB15" s="2025"/>
      <c r="AC15" s="2025"/>
      <c r="AD15" s="2025"/>
      <c r="AE15" s="3531"/>
      <c r="AF15" s="3532">
        <f t="shared" si="7"/>
        <v>107.55999999999999</v>
      </c>
      <c r="AG15" s="3532">
        <f t="shared" si="6"/>
        <v>103.95</v>
      </c>
      <c r="AH15" s="3532">
        <f t="shared" si="6"/>
        <v>102.50999999999999</v>
      </c>
      <c r="AI15" s="3532">
        <f t="shared" si="6"/>
        <v>108.18</v>
      </c>
      <c r="AJ15" s="3532">
        <f t="shared" si="6"/>
        <v>106.3</v>
      </c>
      <c r="AK15" s="3532">
        <f t="shared" si="6"/>
        <v>102.50999999999999</v>
      </c>
      <c r="AL15" s="3531"/>
      <c r="AM15" s="3532">
        <f t="shared" si="9"/>
        <v>101.74125084834409</v>
      </c>
      <c r="AN15" s="3532">
        <f t="shared" si="8"/>
        <v>100.53814616952387</v>
      </c>
      <c r="AO15" s="3532">
        <f t="shared" si="8"/>
        <v>103.40433370401927</v>
      </c>
      <c r="AP15" s="3532">
        <f t="shared" si="8"/>
        <v>101.30137779446135</v>
      </c>
      <c r="AQ15" s="3532">
        <f t="shared" si="8"/>
        <v>97.771425478821428</v>
      </c>
      <c r="AR15" s="3532">
        <f t="shared" si="8"/>
        <v>103.23888677009285</v>
      </c>
      <c r="AS15" s="3531"/>
    </row>
    <row r="16" spans="1:45" s="2042" customFormat="1" ht="13.2">
      <c r="A16" s="2902" t="s">
        <v>3362</v>
      </c>
      <c r="B16" s="2028">
        <v>2023</v>
      </c>
      <c r="C16" s="2039">
        <v>1</v>
      </c>
      <c r="D16" s="2004">
        <v>0.89</v>
      </c>
      <c r="E16" s="2004">
        <v>0.74</v>
      </c>
      <c r="F16" s="2004">
        <v>0.56999999999999995</v>
      </c>
      <c r="G16" s="2004">
        <v>0.92</v>
      </c>
      <c r="H16" s="2914">
        <v>0.5</v>
      </c>
      <c r="I16" s="2005">
        <f t="shared" si="14"/>
        <v>0.56999999999999995</v>
      </c>
      <c r="J16" s="2903"/>
      <c r="K16" s="2040">
        <f t="shared" si="17"/>
        <v>8.8999999999999999E-3</v>
      </c>
      <c r="L16" s="2025">
        <f t="shared" si="17"/>
        <v>7.4000000000000003E-3</v>
      </c>
      <c r="M16" s="2025">
        <f t="shared" si="17"/>
        <v>5.6999999999999993E-3</v>
      </c>
      <c r="N16" s="2025">
        <f t="shared" si="17"/>
        <v>9.1999999999999998E-3</v>
      </c>
      <c r="O16" s="2025">
        <f t="shared" si="17"/>
        <v>5.0000000000000001E-3</v>
      </c>
      <c r="P16" s="2025">
        <f t="shared" si="11"/>
        <v>5.6999999999999993E-3</v>
      </c>
      <c r="Q16" s="2903"/>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8">T16</f>
        <v>1.0203</v>
      </c>
      <c r="X16" s="2903"/>
      <c r="Y16" s="2025"/>
      <c r="Z16" s="2025"/>
      <c r="AA16" s="2025"/>
      <c r="AB16" s="2025"/>
      <c r="AC16" s="2025"/>
      <c r="AD16" s="2025"/>
      <c r="AE16" s="3531"/>
      <c r="AF16" s="3532">
        <f t="shared" si="7"/>
        <v>106.59</v>
      </c>
      <c r="AG16" s="3532">
        <f t="shared" si="6"/>
        <v>103.25999999999999</v>
      </c>
      <c r="AH16" s="3532">
        <f t="shared" si="6"/>
        <v>102.03</v>
      </c>
      <c r="AI16" s="3532">
        <f t="shared" si="6"/>
        <v>107.14999999999999</v>
      </c>
      <c r="AJ16" s="3532">
        <f t="shared" si="6"/>
        <v>105.55000000000001</v>
      </c>
      <c r="AK16" s="3532">
        <f t="shared" si="6"/>
        <v>102.03</v>
      </c>
      <c r="AL16" s="3531"/>
      <c r="AM16" s="3532">
        <f t="shared" si="9"/>
        <v>100.82375468074926</v>
      </c>
      <c r="AN16" s="3532">
        <f t="shared" si="8"/>
        <v>99.878945131654959</v>
      </c>
      <c r="AO16" s="3532">
        <f t="shared" si="8"/>
        <v>102.92060685181573</v>
      </c>
      <c r="AP16" s="3532">
        <f t="shared" si="8"/>
        <v>100.33813172985474</v>
      </c>
      <c r="AQ16" s="3532">
        <f t="shared" si="8"/>
        <v>97.082142268713554</v>
      </c>
      <c r="AR16" s="3532">
        <f t="shared" si="8"/>
        <v>102.75593388085285</v>
      </c>
      <c r="AS16" s="3531"/>
    </row>
    <row r="17" spans="1:45" s="2042" customFormat="1" ht="13.2">
      <c r="A17" s="2902" t="s">
        <v>3361</v>
      </c>
      <c r="B17" s="2028">
        <v>2022</v>
      </c>
      <c r="C17" s="2039">
        <v>4</v>
      </c>
      <c r="D17" s="2004">
        <v>0.62</v>
      </c>
      <c r="E17" s="2004">
        <v>0.2</v>
      </c>
      <c r="F17" s="2004">
        <v>0.11</v>
      </c>
      <c r="G17" s="2004">
        <v>0.69</v>
      </c>
      <c r="H17" s="2914">
        <v>0.53</v>
      </c>
      <c r="I17" s="2005">
        <f t="shared" si="14"/>
        <v>0.11</v>
      </c>
      <c r="J17" s="2903"/>
      <c r="K17" s="2040">
        <f t="shared" si="15"/>
        <v>6.1999999999999998E-3</v>
      </c>
      <c r="L17" s="2025">
        <f t="shared" si="15"/>
        <v>2E-3</v>
      </c>
      <c r="M17" s="2025">
        <f t="shared" si="15"/>
        <v>1.1000000000000001E-3</v>
      </c>
      <c r="N17" s="2025">
        <f t="shared" si="15"/>
        <v>6.8999999999999999E-3</v>
      </c>
      <c r="O17" s="2025">
        <f t="shared" si="15"/>
        <v>5.3E-3</v>
      </c>
      <c r="P17" s="2025">
        <f t="shared" ref="P17:P24" si="19">M17</f>
        <v>1.1000000000000001E-3</v>
      </c>
      <c r="Q17" s="2903"/>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8"/>
        <v>1.0145</v>
      </c>
      <c r="X17" s="2903"/>
      <c r="Y17" s="2025">
        <f>IF(D17=0,0,ROUND(AVERAGE(D17:D25)/100,4))</f>
        <v>8.0999999999999996E-3</v>
      </c>
      <c r="Z17" s="2025">
        <f>IF(E17=0,0,ROUND(AVERAGE(E17:E24)/100,4))</f>
        <v>3.3E-3</v>
      </c>
      <c r="AA17" s="2025">
        <f>IF(F17=0,0,ROUND(AVERAGE(F17:F24)/100,4))</f>
        <v>1.5E-3</v>
      </c>
      <c r="AB17" s="2025">
        <f>IF(G17=0,0,ROUND(AVERAGE(G17:G24)/100,4))</f>
        <v>8.8999999999999999E-3</v>
      </c>
      <c r="AC17" s="2025">
        <f>IF(H17=0,0,ROUND(AVERAGE(H17:H24)/100,4))</f>
        <v>6.6E-3</v>
      </c>
      <c r="AD17" s="2025">
        <f t="shared" si="16"/>
        <v>1.5E-3</v>
      </c>
      <c r="AE17" s="3531"/>
      <c r="AF17" s="3532">
        <f t="shared" si="7"/>
        <v>105.65</v>
      </c>
      <c r="AG17" s="3532">
        <f t="shared" si="6"/>
        <v>102.50999999999999</v>
      </c>
      <c r="AH17" s="3532">
        <f t="shared" si="6"/>
        <v>101.44999999999999</v>
      </c>
      <c r="AI17" s="3532">
        <f t="shared" si="6"/>
        <v>106.18</v>
      </c>
      <c r="AJ17" s="3532">
        <f t="shared" si="6"/>
        <v>105.02</v>
      </c>
      <c r="AK17" s="3532">
        <f t="shared" si="6"/>
        <v>101.44999999999999</v>
      </c>
      <c r="AL17" s="3531"/>
      <c r="AM17" s="3532">
        <f t="shared" si="9"/>
        <v>99.934339063087791</v>
      </c>
      <c r="AN17" s="3532">
        <f t="shared" si="8"/>
        <v>99.145270132673176</v>
      </c>
      <c r="AO17" s="3532">
        <f t="shared" si="8"/>
        <v>102.3372843311283</v>
      </c>
      <c r="AP17" s="3532">
        <f t="shared" si="8"/>
        <v>99.423436117573061</v>
      </c>
      <c r="AQ17" s="3532">
        <f t="shared" si="8"/>
        <v>96.599146536033402</v>
      </c>
      <c r="AR17" s="3532">
        <f t="shared" si="8"/>
        <v>102.17354467619852</v>
      </c>
      <c r="AS17" s="3531"/>
    </row>
    <row r="18" spans="1:45" s="2042" customFormat="1" ht="13.2">
      <c r="A18" s="2902" t="s">
        <v>3359</v>
      </c>
      <c r="B18" s="2028">
        <v>2022</v>
      </c>
      <c r="C18" s="2039">
        <v>3</v>
      </c>
      <c r="D18" s="2004">
        <v>0.66</v>
      </c>
      <c r="E18" s="2004">
        <v>0.32</v>
      </c>
      <c r="F18" s="2004">
        <v>0.23</v>
      </c>
      <c r="G18" s="2004">
        <v>0.72</v>
      </c>
      <c r="H18" s="2914">
        <v>0.63</v>
      </c>
      <c r="I18" s="2005">
        <f t="shared" si="14"/>
        <v>0.23</v>
      </c>
      <c r="J18" s="2903"/>
      <c r="K18" s="2040">
        <f t="shared" si="15"/>
        <v>6.6E-3</v>
      </c>
      <c r="L18" s="2025">
        <f t="shared" si="15"/>
        <v>3.2000000000000002E-3</v>
      </c>
      <c r="M18" s="2025">
        <f t="shared" si="15"/>
        <v>2.3E-3</v>
      </c>
      <c r="N18" s="2025">
        <f t="shared" si="15"/>
        <v>7.1999999999999998E-3</v>
      </c>
      <c r="O18" s="2025">
        <f t="shared" si="15"/>
        <v>6.3E-3</v>
      </c>
      <c r="P18" s="2025">
        <f t="shared" si="19"/>
        <v>2.3E-3</v>
      </c>
      <c r="Q18" s="2903"/>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8"/>
        <v>1.0134000000000001</v>
      </c>
      <c r="X18" s="2903"/>
      <c r="Y18" s="2025">
        <f>IF(D18=0,0,ROUND(AVERAGE(D18:D24)/100,4))</f>
        <v>8.3999999999999995E-3</v>
      </c>
      <c r="Z18" s="2025">
        <f>IF(E18=0,0,ROUND(AVERAGE(E18:E24)/100,4))</f>
        <v>3.5000000000000001E-3</v>
      </c>
      <c r="AA18" s="2025">
        <f>IF(F18=0,0,ROUND(AVERAGE(F18:F24)/100,4))</f>
        <v>1.5E-3</v>
      </c>
      <c r="AB18" s="2025">
        <f>IF(G18=0,0,ROUND(AVERAGE(G18:G24)/100,4))</f>
        <v>9.1999999999999998E-3</v>
      </c>
      <c r="AC18" s="2025">
        <f>IF(H18=0,0,ROUND(AVERAGE(H18:H24)/100,4))</f>
        <v>6.7999999999999996E-3</v>
      </c>
      <c r="AD18" s="2025">
        <f t="shared" si="16"/>
        <v>1.5E-3</v>
      </c>
      <c r="AE18" s="3531"/>
      <c r="AF18" s="3532">
        <f t="shared" si="7"/>
        <v>105</v>
      </c>
      <c r="AG18" s="3532">
        <f t="shared" si="6"/>
        <v>102.3</v>
      </c>
      <c r="AH18" s="3532">
        <f t="shared" si="6"/>
        <v>101.34</v>
      </c>
      <c r="AI18" s="3532">
        <f t="shared" si="6"/>
        <v>105.45</v>
      </c>
      <c r="AJ18" s="3532">
        <f t="shared" si="6"/>
        <v>104.47</v>
      </c>
      <c r="AK18" s="3532">
        <f t="shared" si="6"/>
        <v>101.34</v>
      </c>
      <c r="AL18" s="3531"/>
      <c r="AM18" s="3532">
        <f t="shared" si="9"/>
        <v>99.318563966495518</v>
      </c>
      <c r="AN18" s="3532">
        <f t="shared" si="8"/>
        <v>98.947375381909353</v>
      </c>
      <c r="AO18" s="3532">
        <f t="shared" si="8"/>
        <v>102.22483701041683</v>
      </c>
      <c r="AP18" s="3532">
        <f t="shared" si="8"/>
        <v>98.742115520481747</v>
      </c>
      <c r="AQ18" s="3532">
        <f t="shared" si="8"/>
        <v>96.089870223847001</v>
      </c>
      <c r="AR18" s="3532">
        <f t="shared" si="8"/>
        <v>102.06127727120018</v>
      </c>
      <c r="AS18" s="3531"/>
    </row>
    <row r="19" spans="1:45" s="2042" customFormat="1" ht="13.2">
      <c r="A19" s="2902" t="s">
        <v>3350</v>
      </c>
      <c r="B19" s="2028">
        <v>2022</v>
      </c>
      <c r="C19" s="2039">
        <v>2</v>
      </c>
      <c r="D19" s="2004">
        <v>0.93</v>
      </c>
      <c r="E19" s="2004">
        <v>0.15</v>
      </c>
      <c r="F19" s="2004">
        <v>0.01</v>
      </c>
      <c r="G19" s="2004">
        <v>1.05</v>
      </c>
      <c r="H19" s="2914">
        <v>1.08</v>
      </c>
      <c r="I19" s="2005">
        <f t="shared" si="14"/>
        <v>0.01</v>
      </c>
      <c r="J19" s="2903"/>
      <c r="K19" s="2040">
        <f t="shared" si="15"/>
        <v>9.300000000000001E-3</v>
      </c>
      <c r="L19" s="2025">
        <f t="shared" si="15"/>
        <v>1.5E-3</v>
      </c>
      <c r="M19" s="2025">
        <f t="shared" si="15"/>
        <v>1E-4</v>
      </c>
      <c r="N19" s="2025">
        <f t="shared" si="15"/>
        <v>1.0500000000000001E-2</v>
      </c>
      <c r="O19" s="2025">
        <f t="shared" si="15"/>
        <v>1.0800000000000001E-2</v>
      </c>
      <c r="P19" s="2025">
        <f t="shared" si="19"/>
        <v>1E-4</v>
      </c>
      <c r="Q19" s="2903"/>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8"/>
        <v>1.0109999999999999</v>
      </c>
      <c r="X19" s="2903"/>
      <c r="Y19" s="2025">
        <f>IF(D19=0,0,ROUND(AVERAGE(D19:D24)/100,4))</f>
        <v>8.6999999999999994E-3</v>
      </c>
      <c r="Z19" s="2025">
        <f>IF(E19=0,0,ROUND(AVERAGE(E19:E24)/100,4))</f>
        <v>3.5000000000000001E-3</v>
      </c>
      <c r="AA19" s="2025">
        <f>IF(F19=0,0,ROUND(AVERAGE(F19:F24)/100,4))</f>
        <v>1.4E-3</v>
      </c>
      <c r="AB19" s="2025">
        <f>IF(G19=0,0,ROUND(AVERAGE(G19:G24)/100,4))</f>
        <v>9.4999999999999998E-3</v>
      </c>
      <c r="AC19" s="2025">
        <f>IF(H19=0,0,ROUND(AVERAGE(H19:H24)/100,4))</f>
        <v>6.8999999999999999E-3</v>
      </c>
      <c r="AD19" s="2025">
        <f t="shared" si="16"/>
        <v>1.4E-3</v>
      </c>
      <c r="AE19" s="3531"/>
      <c r="AF19" s="3532">
        <f t="shared" si="7"/>
        <v>104.30999999999999</v>
      </c>
      <c r="AG19" s="3532">
        <f t="shared" si="6"/>
        <v>101.97</v>
      </c>
      <c r="AH19" s="3532">
        <f t="shared" si="6"/>
        <v>101.1</v>
      </c>
      <c r="AI19" s="3532">
        <f t="shared" si="6"/>
        <v>104.69</v>
      </c>
      <c r="AJ19" s="3532">
        <f t="shared" si="6"/>
        <v>103.82000000000001</v>
      </c>
      <c r="AK19" s="3532">
        <f t="shared" si="6"/>
        <v>101.1</v>
      </c>
      <c r="AL19" s="3531"/>
      <c r="AM19" s="3532">
        <f t="shared" si="9"/>
        <v>98.667359394491882</v>
      </c>
      <c r="AN19" s="3532">
        <f t="shared" si="8"/>
        <v>98.631753769845844</v>
      </c>
      <c r="AO19" s="3532">
        <f t="shared" si="8"/>
        <v>101.99025941376517</v>
      </c>
      <c r="AP19" s="3532">
        <f t="shared" si="8"/>
        <v>98.036254488166932</v>
      </c>
      <c r="AQ19" s="3532">
        <f t="shared" si="8"/>
        <v>95.488293971824504</v>
      </c>
      <c r="AR19" s="3532">
        <f t="shared" si="8"/>
        <v>101.82707499870317</v>
      </c>
      <c r="AS19" s="3531"/>
    </row>
    <row r="20" spans="1:45" s="2042" customFormat="1" ht="13.2">
      <c r="A20" s="2902" t="s">
        <v>2816</v>
      </c>
      <c r="B20" s="2028">
        <v>2022</v>
      </c>
      <c r="C20" s="2039">
        <v>1</v>
      </c>
      <c r="D20" s="2004">
        <v>0.89</v>
      </c>
      <c r="E20" s="2004">
        <v>0.44</v>
      </c>
      <c r="F20" s="2004">
        <v>0.37</v>
      </c>
      <c r="G20" s="2004">
        <v>0.96</v>
      </c>
      <c r="H20" s="2914">
        <v>0.64</v>
      </c>
      <c r="I20" s="2005">
        <f t="shared" si="14"/>
        <v>0.37</v>
      </c>
      <c r="J20" s="2903"/>
      <c r="K20" s="2040">
        <f t="shared" si="15"/>
        <v>8.8999999999999999E-3</v>
      </c>
      <c r="L20" s="2025">
        <f t="shared" si="15"/>
        <v>4.4000000000000003E-3</v>
      </c>
      <c r="M20" s="2025">
        <f t="shared" si="15"/>
        <v>3.7000000000000002E-3</v>
      </c>
      <c r="N20" s="2025">
        <f t="shared" si="15"/>
        <v>9.5999999999999992E-3</v>
      </c>
      <c r="O20" s="2025">
        <f t="shared" si="15"/>
        <v>6.4000000000000003E-3</v>
      </c>
      <c r="P20" s="2025">
        <f t="shared" si="19"/>
        <v>3.7000000000000002E-3</v>
      </c>
      <c r="Q20" s="2903"/>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8"/>
        <v>1.0108999999999999</v>
      </c>
      <c r="X20" s="2903"/>
      <c r="Y20" s="2025">
        <f>IF(D20=0,0,ROUND(AVERAGE(D20:D24)/100,4))</f>
        <v>8.6E-3</v>
      </c>
      <c r="Z20" s="2025">
        <f>IF(E20=0,0,ROUND(AVERAGE(E20:E24)/100,4))</f>
        <v>3.8999999999999998E-3</v>
      </c>
      <c r="AA20" s="2025">
        <f>IF(F20=0,0,ROUND(AVERAGE(F20:F24)/100,4))</f>
        <v>1.6999999999999999E-3</v>
      </c>
      <c r="AB20" s="2025">
        <f>IF(G20=0,0,ROUND(AVERAGE(G20:G24)/100,4))</f>
        <v>9.2999999999999992E-3</v>
      </c>
      <c r="AC20" s="2025">
        <f>IF(H20=0,0,ROUND(AVERAGE(H20:H24)/100,4))</f>
        <v>6.1000000000000004E-3</v>
      </c>
      <c r="AD20" s="2025">
        <f t="shared" si="16"/>
        <v>1.6999999999999999E-3</v>
      </c>
      <c r="AE20" s="3531"/>
      <c r="AF20" s="3532">
        <f t="shared" si="7"/>
        <v>103.35000000000001</v>
      </c>
      <c r="AG20" s="3532">
        <f t="shared" si="6"/>
        <v>101.82</v>
      </c>
      <c r="AH20" s="3532">
        <f t="shared" si="6"/>
        <v>101.08999999999999</v>
      </c>
      <c r="AI20" s="3532">
        <f t="shared" si="6"/>
        <v>103.61</v>
      </c>
      <c r="AJ20" s="3532">
        <f t="shared" si="6"/>
        <v>102.71</v>
      </c>
      <c r="AK20" s="3532">
        <f t="shared" si="6"/>
        <v>101.08999999999999</v>
      </c>
      <c r="AL20" s="3531"/>
      <c r="AM20" s="3532">
        <f t="shared" si="9"/>
        <v>97.758208059538163</v>
      </c>
      <c r="AN20" s="3532">
        <f t="shared" si="8"/>
        <v>98.484027728253452</v>
      </c>
      <c r="AO20" s="3532">
        <f t="shared" si="8"/>
        <v>101.98006140762442</v>
      </c>
      <c r="AP20" s="3532">
        <f t="shared" si="8"/>
        <v>97.017570003134026</v>
      </c>
      <c r="AQ20" s="3532">
        <f t="shared" si="8"/>
        <v>94.468039149015155</v>
      </c>
      <c r="AR20" s="3532">
        <f t="shared" si="8"/>
        <v>101.81689330937223</v>
      </c>
      <c r="AS20" s="3531"/>
    </row>
    <row r="21" spans="1:45" s="2042" customFormat="1" ht="13.2">
      <c r="A21" s="2902" t="s">
        <v>2817</v>
      </c>
      <c r="B21" s="2028">
        <v>2021</v>
      </c>
      <c r="C21" s="2039">
        <v>4</v>
      </c>
      <c r="D21" s="2004">
        <v>1.03</v>
      </c>
      <c r="E21" s="2004">
        <v>0.24</v>
      </c>
      <c r="F21" s="2004">
        <v>7.0000000000000007E-2</v>
      </c>
      <c r="G21" s="2004">
        <v>1.17</v>
      </c>
      <c r="H21" s="2914">
        <v>0.55000000000000004</v>
      </c>
      <c r="I21" s="2005">
        <f t="shared" si="14"/>
        <v>7.0000000000000007E-2</v>
      </c>
      <c r="J21" s="2903"/>
      <c r="K21" s="2040">
        <f t="shared" si="15"/>
        <v>1.03E-2</v>
      </c>
      <c r="L21" s="2025">
        <f t="shared" si="15"/>
        <v>2.3999999999999998E-3</v>
      </c>
      <c r="M21" s="2025">
        <f t="shared" si="15"/>
        <v>7.000000000000001E-4</v>
      </c>
      <c r="N21" s="2025">
        <f t="shared" si="15"/>
        <v>1.1699999999999999E-2</v>
      </c>
      <c r="O21" s="2025">
        <f t="shared" si="15"/>
        <v>5.5000000000000005E-3</v>
      </c>
      <c r="P21" s="2025">
        <f t="shared" si="19"/>
        <v>7.000000000000001E-4</v>
      </c>
      <c r="Q21" s="2903"/>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8"/>
        <v>1.0072000000000001</v>
      </c>
      <c r="X21" s="2903"/>
      <c r="Y21" s="2025">
        <f>IF(D21=0,0,ROUND(AVERAGE(D21:D24)/100,4))</f>
        <v>8.5000000000000006E-3</v>
      </c>
      <c r="Z21" s="2025">
        <f>IF(E21=0,0,ROUND(AVERAGE(E21:E24)/100,4))</f>
        <v>3.8E-3</v>
      </c>
      <c r="AA21" s="2025">
        <f>IF(F21=0,0,ROUND(AVERAGE(F21:F24)/100,4))</f>
        <v>1.1999999999999999E-3</v>
      </c>
      <c r="AB21" s="2025">
        <f>IF(G21=0,0,ROUND(AVERAGE(G21:G24)/100,4))</f>
        <v>9.2999999999999992E-3</v>
      </c>
      <c r="AC21" s="2025">
        <f>IF(H21=0,0,ROUND(AVERAGE(H21:H24)/100,4))</f>
        <v>6.0000000000000001E-3</v>
      </c>
      <c r="AD21" s="2025">
        <f t="shared" si="16"/>
        <v>1.1999999999999999E-3</v>
      </c>
      <c r="AE21" s="3531"/>
      <c r="AF21" s="3532">
        <f t="shared" si="7"/>
        <v>102.44</v>
      </c>
      <c r="AG21" s="3532">
        <f t="shared" si="7"/>
        <v>101.38000000000001</v>
      </c>
      <c r="AH21" s="3532">
        <f t="shared" si="7"/>
        <v>100.72000000000001</v>
      </c>
      <c r="AI21" s="3532">
        <f t="shared" si="7"/>
        <v>102.62</v>
      </c>
      <c r="AJ21" s="3532">
        <f t="shared" si="7"/>
        <v>102.05</v>
      </c>
      <c r="AK21" s="3532">
        <f t="shared" si="7"/>
        <v>100.72000000000001</v>
      </c>
      <c r="AL21" s="3531"/>
      <c r="AM21" s="3532">
        <f t="shared" si="9"/>
        <v>96.895835126908679</v>
      </c>
      <c r="AN21" s="3532">
        <f t="shared" si="8"/>
        <v>98.0525963045136</v>
      </c>
      <c r="AO21" s="3532">
        <f t="shared" si="8"/>
        <v>101.60412614090308</v>
      </c>
      <c r="AP21" s="3532">
        <f t="shared" si="8"/>
        <v>96.095057451598677</v>
      </c>
      <c r="AQ21" s="3532">
        <f t="shared" si="8"/>
        <v>93.867288502598527</v>
      </c>
      <c r="AR21" s="3532">
        <f t="shared" si="8"/>
        <v>101.44155953907764</v>
      </c>
      <c r="AS21" s="3531"/>
    </row>
    <row r="22" spans="1:45" s="2042" customFormat="1" ht="13.2">
      <c r="A22" s="2902" t="s">
        <v>2818</v>
      </c>
      <c r="B22" s="2028">
        <v>2021</v>
      </c>
      <c r="C22" s="2039">
        <v>3</v>
      </c>
      <c r="D22" s="2004">
        <v>0.47</v>
      </c>
      <c r="E22" s="2004">
        <v>0.41</v>
      </c>
      <c r="F22" s="2004">
        <v>0.24</v>
      </c>
      <c r="G22" s="2004">
        <v>0.48</v>
      </c>
      <c r="H22" s="2914">
        <v>0.48</v>
      </c>
      <c r="I22" s="2005">
        <f t="shared" si="14"/>
        <v>0.24</v>
      </c>
      <c r="J22" s="2903"/>
      <c r="K22" s="2040">
        <f t="shared" si="15"/>
        <v>4.6999999999999993E-3</v>
      </c>
      <c r="L22" s="2025">
        <f t="shared" si="15"/>
        <v>4.0999999999999995E-3</v>
      </c>
      <c r="M22" s="2025">
        <f t="shared" si="15"/>
        <v>2.3999999999999998E-3</v>
      </c>
      <c r="N22" s="2025">
        <f t="shared" si="15"/>
        <v>4.7999999999999996E-3</v>
      </c>
      <c r="O22" s="2025">
        <f t="shared" si="15"/>
        <v>4.7999999999999996E-3</v>
      </c>
      <c r="P22" s="2025">
        <f t="shared" si="19"/>
        <v>2.3999999999999998E-3</v>
      </c>
      <c r="Q22" s="2903"/>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8"/>
        <v>1.0065</v>
      </c>
      <c r="X22" s="2903"/>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16"/>
        <v>1.2999999999999999E-3</v>
      </c>
      <c r="AE22" s="3531"/>
      <c r="AF22" s="3532">
        <f t="shared" si="7"/>
        <v>101.39</v>
      </c>
      <c r="AG22" s="3532">
        <f t="shared" si="7"/>
        <v>101.13000000000001</v>
      </c>
      <c r="AH22" s="3532">
        <f t="shared" si="7"/>
        <v>100.64999999999999</v>
      </c>
      <c r="AI22" s="3532">
        <f t="shared" si="7"/>
        <v>101.42999999999999</v>
      </c>
      <c r="AJ22" s="3532">
        <f t="shared" si="7"/>
        <v>101.49</v>
      </c>
      <c r="AK22" s="3532">
        <f t="shared" si="7"/>
        <v>100.64999999999999</v>
      </c>
      <c r="AL22" s="3531"/>
      <c r="AM22" s="3532">
        <f t="shared" si="9"/>
        <v>95.907982903007706</v>
      </c>
      <c r="AN22" s="3532">
        <f t="shared" si="9"/>
        <v>97.81783350410376</v>
      </c>
      <c r="AO22" s="3532">
        <f t="shared" si="9"/>
        <v>101.53305300380042</v>
      </c>
      <c r="AP22" s="3532">
        <f t="shared" si="9"/>
        <v>94.983747604624568</v>
      </c>
      <c r="AQ22" s="3532">
        <f t="shared" si="9"/>
        <v>93.353842369565911</v>
      </c>
      <c r="AR22" s="3532">
        <f t="shared" si="9"/>
        <v>101.37060011899436</v>
      </c>
      <c r="AS22" s="3531"/>
    </row>
    <row r="23" spans="1:45" s="2042" customFormat="1" ht="13.2">
      <c r="A23" s="2902" t="s">
        <v>2819</v>
      </c>
      <c r="B23" s="2028">
        <v>2021</v>
      </c>
      <c r="C23" s="2039">
        <v>2</v>
      </c>
      <c r="D23" s="2004">
        <v>0.92</v>
      </c>
      <c r="E23" s="2004">
        <v>0.72</v>
      </c>
      <c r="F23" s="2004">
        <v>0.41</v>
      </c>
      <c r="G23" s="2004">
        <v>0.95</v>
      </c>
      <c r="H23" s="2914">
        <v>1.01</v>
      </c>
      <c r="I23" s="2005">
        <f t="shared" si="14"/>
        <v>0.41</v>
      </c>
      <c r="J23" s="2903"/>
      <c r="K23" s="2040">
        <f t="shared" si="15"/>
        <v>9.1999999999999998E-3</v>
      </c>
      <c r="L23" s="2025">
        <f t="shared" si="15"/>
        <v>7.1999999999999998E-3</v>
      </c>
      <c r="M23" s="2025">
        <f t="shared" si="15"/>
        <v>4.0999999999999995E-3</v>
      </c>
      <c r="N23" s="2025">
        <f t="shared" si="15"/>
        <v>9.4999999999999998E-3</v>
      </c>
      <c r="O23" s="2025">
        <f t="shared" si="15"/>
        <v>1.01E-2</v>
      </c>
      <c r="P23" s="2025">
        <f t="shared" si="19"/>
        <v>4.0999999999999995E-3</v>
      </c>
      <c r="Q23" s="2903"/>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8"/>
        <v>1.0041</v>
      </c>
      <c r="X23" s="2903"/>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16"/>
        <v>8.0000000000000004E-4</v>
      </c>
      <c r="AE23" s="3531"/>
      <c r="AF23" s="3532">
        <f t="shared" si="7"/>
        <v>100.92000000000002</v>
      </c>
      <c r="AG23" s="3532">
        <f t="shared" si="7"/>
        <v>100.72000000000001</v>
      </c>
      <c r="AH23" s="3532">
        <f t="shared" si="7"/>
        <v>100.41</v>
      </c>
      <c r="AI23" s="3532">
        <f t="shared" si="7"/>
        <v>100.95</v>
      </c>
      <c r="AJ23" s="3532">
        <f t="shared" si="7"/>
        <v>101.01</v>
      </c>
      <c r="AK23" s="3532">
        <f t="shared" si="7"/>
        <v>100.41</v>
      </c>
      <c r="AL23" s="3531"/>
      <c r="AM23" s="3532">
        <f t="shared" ref="AM23:AR24" si="20">AM22/(1+D22/100)</f>
        <v>95.459324079832498</v>
      </c>
      <c r="AN23" s="3532">
        <f t="shared" si="20"/>
        <v>97.418417990343357</v>
      </c>
      <c r="AO23" s="3532">
        <f t="shared" si="20"/>
        <v>101.28995710674424</v>
      </c>
      <c r="AP23" s="3532">
        <f t="shared" si="20"/>
        <v>94.530003587405034</v>
      </c>
      <c r="AQ23" s="3532">
        <f t="shared" si="20"/>
        <v>92.907884523851436</v>
      </c>
      <c r="AR23" s="3532">
        <f t="shared" si="20"/>
        <v>101.12789317537347</v>
      </c>
      <c r="AS23" s="3531"/>
    </row>
    <row r="24" spans="1:45" s="2925" customFormat="1" ht="15" thickBot="1">
      <c r="A24" s="2915" t="s">
        <v>2820</v>
      </c>
      <c r="B24" s="2916">
        <v>2021</v>
      </c>
      <c r="C24" s="2917">
        <v>1</v>
      </c>
      <c r="D24" s="2918">
        <v>0.97</v>
      </c>
      <c r="E24" s="2918">
        <v>0.16</v>
      </c>
      <c r="F24" s="2918">
        <v>-0.25</v>
      </c>
      <c r="G24" s="2918">
        <v>1.1100000000000001</v>
      </c>
      <c r="H24" s="2919">
        <v>0.36</v>
      </c>
      <c r="I24" s="2920">
        <f t="shared" si="14"/>
        <v>-0.25</v>
      </c>
      <c r="J24" s="2921"/>
      <c r="K24" s="2922">
        <f t="shared" si="15"/>
        <v>9.7000000000000003E-3</v>
      </c>
      <c r="L24" s="2923">
        <f t="shared" si="15"/>
        <v>1.6000000000000001E-3</v>
      </c>
      <c r="M24" s="2923">
        <f>F24/100</f>
        <v>-2.5000000000000001E-3</v>
      </c>
      <c r="N24" s="2923">
        <f t="shared" si="15"/>
        <v>1.11E-2</v>
      </c>
      <c r="O24" s="2923">
        <f t="shared" si="15"/>
        <v>3.5999999999999999E-3</v>
      </c>
      <c r="P24" s="2923">
        <f t="shared" si="19"/>
        <v>-2.5000000000000001E-3</v>
      </c>
      <c r="Q24" s="2921"/>
      <c r="R24" s="2924">
        <v>1</v>
      </c>
      <c r="S24" s="2924">
        <v>1</v>
      </c>
      <c r="T24" s="2924">
        <v>1</v>
      </c>
      <c r="U24" s="2924">
        <v>1</v>
      </c>
      <c r="V24" s="2924">
        <v>1</v>
      </c>
      <c r="W24" s="2924">
        <f>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E24" s="3544"/>
      <c r="AF24" s="3545">
        <v>100</v>
      </c>
      <c r="AG24" s="3545">
        <v>100</v>
      </c>
      <c r="AH24" s="3545">
        <v>100</v>
      </c>
      <c r="AI24" s="3545">
        <v>100</v>
      </c>
      <c r="AJ24" s="3545">
        <v>100</v>
      </c>
      <c r="AK24" s="3545">
        <v>100</v>
      </c>
      <c r="AL24" s="3544"/>
      <c r="AM24" s="3546">
        <f t="shared" si="20"/>
        <v>94.589104320087685</v>
      </c>
      <c r="AN24" s="3546">
        <f t="shared" si="20"/>
        <v>96.722019450301175</v>
      </c>
      <c r="AO24" s="3546">
        <f t="shared" si="20"/>
        <v>100.87636401428567</v>
      </c>
      <c r="AP24" s="3546">
        <f t="shared" si="20"/>
        <v>93.640419601193685</v>
      </c>
      <c r="AQ24" s="3546">
        <f t="shared" si="20"/>
        <v>91.978897657510586</v>
      </c>
      <c r="AR24" s="3546">
        <f t="shared" si="20"/>
        <v>100.71496183186284</v>
      </c>
      <c r="AS24" s="3544"/>
    </row>
    <row r="25" spans="1:45" ht="15" thickTop="1"/>
    <row r="26" spans="1:45">
      <c r="A26" s="3140" t="s">
        <v>3378</v>
      </c>
    </row>
    <row r="27" spans="1:45">
      <c r="I27" s="1402" t="s">
        <v>2821</v>
      </c>
    </row>
    <row r="29" spans="1:45" s="2006" customFormat="1" ht="13.2">
      <c r="B29" s="2926" t="s">
        <v>3376</v>
      </c>
      <c r="C29" s="2927"/>
      <c r="D29" s="2927"/>
      <c r="E29" s="2927"/>
      <c r="F29" s="2927"/>
      <c r="G29" s="2927"/>
      <c r="H29" s="2927"/>
      <c r="I29" s="2927"/>
      <c r="J29" s="2893"/>
      <c r="K29" s="2927" t="s">
        <v>2822</v>
      </c>
      <c r="L29" s="2927"/>
      <c r="M29" s="2927"/>
      <c r="N29" s="2927"/>
      <c r="O29" s="2927"/>
      <c r="P29" s="2927"/>
      <c r="Q29" s="2893"/>
      <c r="R29" s="3514" t="s">
        <v>2823</v>
      </c>
      <c r="S29" s="3515"/>
      <c r="T29" s="3515"/>
      <c r="U29" s="3515"/>
      <c r="V29" s="3515"/>
      <c r="W29" s="3515"/>
      <c r="X29" s="2893"/>
      <c r="Y29" s="3514" t="s">
        <v>2824</v>
      </c>
      <c r="Z29" s="3515"/>
      <c r="AA29" s="3515"/>
      <c r="AB29" s="3515"/>
      <c r="AC29" s="3515"/>
      <c r="AD29" s="3515"/>
      <c r="AE29" s="3543"/>
      <c r="AF29" s="3543"/>
      <c r="AG29" s="3543"/>
      <c r="AH29" s="3543"/>
      <c r="AI29" s="3543"/>
      <c r="AJ29" s="3543"/>
      <c r="AK29" s="3543"/>
      <c r="AL29" s="3543"/>
      <c r="AM29" s="3543"/>
      <c r="AN29" s="3543"/>
      <c r="AO29" s="3543"/>
      <c r="AP29" s="3543"/>
      <c r="AQ29" s="3543"/>
      <c r="AR29" s="3543"/>
      <c r="AS29" s="3543"/>
    </row>
    <row r="30" spans="1:45" s="2007" customFormat="1" ht="15" thickBot="1">
      <c r="B30" s="2878"/>
      <c r="C30" s="2879"/>
      <c r="D30" s="2008" t="s">
        <v>2825</v>
      </c>
      <c r="E30" s="2009" t="s">
        <v>2826</v>
      </c>
      <c r="F30" s="2009" t="s">
        <v>2827</v>
      </c>
      <c r="G30" s="2009" t="s">
        <v>2828</v>
      </c>
      <c r="H30" s="2009"/>
      <c r="I30" s="2009" t="s">
        <v>2829</v>
      </c>
      <c r="J30" s="2880"/>
      <c r="K30" s="2008" t="s">
        <v>2825</v>
      </c>
      <c r="L30" s="2009" t="s">
        <v>2826</v>
      </c>
      <c r="M30" s="2009" t="s">
        <v>2827</v>
      </c>
      <c r="N30" s="2009" t="s">
        <v>2828</v>
      </c>
      <c r="O30" s="2009"/>
      <c r="P30" s="2009" t="s">
        <v>2829</v>
      </c>
      <c r="Q30" s="2880"/>
      <c r="R30" s="2008" t="s">
        <v>2825</v>
      </c>
      <c r="S30" s="2009" t="s">
        <v>2826</v>
      </c>
      <c r="T30" s="2009" t="s">
        <v>2827</v>
      </c>
      <c r="U30" s="2009" t="s">
        <v>2828</v>
      </c>
      <c r="V30" s="2009"/>
      <c r="W30" s="2009" t="s">
        <v>2829</v>
      </c>
      <c r="X30" s="2880"/>
      <c r="Y30" s="2008" t="s">
        <v>2825</v>
      </c>
      <c r="Z30" s="2009" t="s">
        <v>2826</v>
      </c>
      <c r="AA30" s="2009" t="s">
        <v>2827</v>
      </c>
      <c r="AB30" s="2009" t="s">
        <v>2828</v>
      </c>
      <c r="AC30" s="2009"/>
      <c r="AD30" s="2009" t="s">
        <v>2829</v>
      </c>
      <c r="AE30" s="3541"/>
      <c r="AF30" s="3541"/>
      <c r="AG30" t="s">
        <v>673</v>
      </c>
      <c r="AH30" t="s">
        <v>21</v>
      </c>
      <c r="AI30" t="s">
        <v>3481</v>
      </c>
      <c r="AJ30"/>
      <c r="AK30" t="s">
        <v>3482</v>
      </c>
      <c r="AL30" s="3541"/>
      <c r="AM30" s="3541"/>
      <c r="AN30" t="s">
        <v>673</v>
      </c>
      <c r="AO30" t="s">
        <v>21</v>
      </c>
      <c r="AP30" t="s">
        <v>3481</v>
      </c>
      <c r="AQ30"/>
      <c r="AR30" t="s">
        <v>3482</v>
      </c>
      <c r="AS30" s="3541"/>
    </row>
    <row r="31" spans="1:45" s="2883" customFormat="1" ht="13.2">
      <c r="A31" s="2881" t="s">
        <v>2830</v>
      </c>
      <c r="B31" s="2882"/>
      <c r="E31" s="2883">
        <f>ROUND(AVERAGEIF(E32:E49,"&lt;&gt;0"),2)</f>
        <v>0.21</v>
      </c>
      <c r="F31" s="2883">
        <f>ROUND(AVERAGEIF(F32:F49,"&lt;&gt;0"),2)</f>
        <v>0.14000000000000001</v>
      </c>
      <c r="G31" s="2883">
        <f>ROUND(AVERAGEIF(G32:G49,"&lt;&gt;0"),2)</f>
        <v>0.3</v>
      </c>
      <c r="I31" s="2883">
        <f>F31</f>
        <v>0.14000000000000001</v>
      </c>
      <c r="J31" s="2884"/>
      <c r="K31" s="2885"/>
      <c r="L31" s="2886">
        <f>ROUND(AVERAGEIF(L32:L49,"&lt;&gt;0"),4)</f>
        <v>2.0999999999999999E-3</v>
      </c>
      <c r="M31" s="2886">
        <f>ROUND(AVERAGEIF(M32:M49,"&lt;&gt;0"),4)</f>
        <v>1.4E-3</v>
      </c>
      <c r="N31" s="2886">
        <f>ROUND(AVERAGEIF(N32:N49,"&lt;&gt;0"),4)</f>
        <v>3.0000000000000001E-3</v>
      </c>
      <c r="O31" s="2886"/>
      <c r="P31" s="2886">
        <f>M31</f>
        <v>1.4E-3</v>
      </c>
      <c r="Q31" s="2884"/>
      <c r="R31" s="2887"/>
      <c r="S31" s="2888">
        <f>ROUND(SUMPRODUCT(PRODUCT(1+L32:L49)),4)</f>
        <v>1.0337000000000001</v>
      </c>
      <c r="T31" s="2888">
        <f>ROUND(SUMPRODUCT(PRODUCT(1+M32:M49)),4)</f>
        <v>1.022</v>
      </c>
      <c r="U31" s="2888">
        <f>ROUND(SUMPRODUCT(PRODUCT(1+N32:N49)),4)</f>
        <v>1.0489999999999999</v>
      </c>
      <c r="V31" s="2888"/>
      <c r="W31" s="2887">
        <f>T31</f>
        <v>1.022</v>
      </c>
      <c r="X31" s="2884"/>
      <c r="Y31" s="2889"/>
      <c r="Z31" s="2890">
        <f>ROUND(AVERAGEIF(Z32:Z49,"&lt;&gt;0"),4)</f>
        <v>3.8E-3</v>
      </c>
      <c r="AA31" s="2891">
        <f>ROUND(AVERAGEIF(AA32:AA49,"&lt;&gt;0"),4)</f>
        <v>3.0000000000000001E-3</v>
      </c>
      <c r="AB31" s="2889">
        <f>ROUND(AVERAGEIF(AB32:AB49,"&lt;&gt;0"),4)</f>
        <v>7.4999999999999997E-3</v>
      </c>
      <c r="AC31" s="2892"/>
      <c r="AD31" s="2889">
        <f>AA31</f>
        <v>3.0000000000000001E-3</v>
      </c>
      <c r="AE31" s="3542"/>
      <c r="AF31" s="3542"/>
      <c r="AG31" s="3542"/>
      <c r="AH31" s="3542"/>
      <c r="AI31" s="3542"/>
      <c r="AJ31" s="3542"/>
      <c r="AK31" s="3542"/>
      <c r="AL31" s="3542"/>
      <c r="AM31" s="3542"/>
      <c r="AN31" s="3542"/>
      <c r="AO31" s="3542"/>
      <c r="AP31" s="3542"/>
      <c r="AQ31" s="3542"/>
      <c r="AR31" s="3542"/>
      <c r="AS31" s="3542"/>
    </row>
    <row r="32" spans="1:45" s="2006" customFormat="1" ht="13.2">
      <c r="B32" s="2022"/>
      <c r="J32" s="2893"/>
      <c r="K32" s="2894"/>
      <c r="L32" s="2895"/>
      <c r="M32" s="2895"/>
      <c r="N32" s="2895"/>
      <c r="O32" s="2895"/>
      <c r="P32" s="2895"/>
      <c r="Q32" s="2893"/>
      <c r="R32" s="2024"/>
      <c r="S32" s="2896"/>
      <c r="T32" s="2897"/>
      <c r="U32" s="2024"/>
      <c r="V32" s="2898"/>
      <c r="W32" s="2024"/>
      <c r="X32" s="2893"/>
      <c r="Y32" s="2025"/>
      <c r="Z32" s="2899"/>
      <c r="AA32" s="2900"/>
      <c r="AB32" s="2025"/>
      <c r="AC32" s="2901"/>
      <c r="AD32" s="2025"/>
      <c r="AE32" s="3543"/>
      <c r="AF32" s="3543"/>
      <c r="AG32" s="3543"/>
      <c r="AH32" s="3543"/>
      <c r="AI32" s="3543"/>
      <c r="AJ32" s="3543"/>
      <c r="AK32" s="3543"/>
      <c r="AL32" s="3543"/>
      <c r="AM32" s="3543"/>
      <c r="AN32" s="3543"/>
      <c r="AO32" s="3543"/>
      <c r="AP32" s="3543"/>
      <c r="AQ32" s="3543"/>
      <c r="AR32" s="3543"/>
      <c r="AS32" s="3543"/>
    </row>
    <row r="33" spans="1:45" s="2042" customFormat="1">
      <c r="A33" s="2037" t="s">
        <v>3371</v>
      </c>
      <c r="B33" s="2028">
        <v>2025</v>
      </c>
      <c r="C33" s="2039">
        <v>1</v>
      </c>
      <c r="D33" s="2004"/>
      <c r="E33" s="2004">
        <v>0</v>
      </c>
      <c r="F33" s="2004">
        <v>0</v>
      </c>
      <c r="G33" s="2004">
        <v>0</v>
      </c>
      <c r="H33" s="2004"/>
      <c r="I33" s="2005">
        <f>F33</f>
        <v>0</v>
      </c>
      <c r="J33" s="2903"/>
      <c r="K33" s="2040"/>
      <c r="L33" s="2025">
        <f t="shared" ref="L33:N35" si="21">E33/100</f>
        <v>0</v>
      </c>
      <c r="M33" s="2025">
        <f t="shared" si="21"/>
        <v>0</v>
      </c>
      <c r="N33" s="2025">
        <f t="shared" si="21"/>
        <v>0</v>
      </c>
      <c r="O33" s="2025"/>
      <c r="P33" s="2025">
        <f t="shared" ref="P33:P41" si="22">M33</f>
        <v>0</v>
      </c>
      <c r="Q33" s="2903"/>
      <c r="R33" s="2024"/>
      <c r="S33" s="2024">
        <f>ROUND(IF(项目基本情况!$B$8="出让",SUMPRODUCT(PRODUCT(1+L33:L$49)),SUMPRODUCT(PRODUCT(1+L33:L$48))),4)</f>
        <v>1.0301</v>
      </c>
      <c r="T33" s="2024">
        <f>ROUND(IF(项目基本情况!$B$8="出让",SUMPRODUCT(PRODUCT(1+M33:M$49)),SUMPRODUCT(PRODUCT(1+M33:M$48))),4)</f>
        <v>1.0170999999999999</v>
      </c>
      <c r="U33" s="2024">
        <f>ROUND(IF(项目基本情况!$B$8="出让",SUMPRODUCT(PRODUCT(1+N33:N$49)),SUMPRODUCT(PRODUCT(1+N33:N$48))),4)</f>
        <v>1.0387999999999999</v>
      </c>
      <c r="V33" s="2024"/>
      <c r="W33" s="2024">
        <f t="shared" ref="W33:W41" si="23">T33</f>
        <v>1.0170999999999999</v>
      </c>
      <c r="X33" s="2903"/>
      <c r="Y33" s="2025"/>
      <c r="Z33" s="2899">
        <f t="shared" ref="Z33:AB34" si="24">IF(E33=0,0,ROUND(AVERAGE(E33:E46)/100,4))</f>
        <v>0</v>
      </c>
      <c r="AA33" s="2899">
        <f t="shared" si="24"/>
        <v>0</v>
      </c>
      <c r="AB33" s="2899">
        <f t="shared" si="24"/>
        <v>0</v>
      </c>
      <c r="AC33" s="2901"/>
      <c r="AD33" s="2025">
        <f>IF(I33=0,0,ROUND(AVERAGE(I33:I46)/100,4))</f>
        <v>0</v>
      </c>
      <c r="AE33" s="3531"/>
      <c r="AF33" s="3531"/>
      <c r="AG33" s="3532">
        <f t="shared" ref="AG33:AI50" si="25">$AG$52*S33</f>
        <v>103.01</v>
      </c>
      <c r="AH33" s="3532">
        <f t="shared" si="25"/>
        <v>101.71</v>
      </c>
      <c r="AI33" s="3532">
        <f t="shared" si="25"/>
        <v>103.88</v>
      </c>
      <c r="AJ33" s="3547"/>
      <c r="AK33" s="3532">
        <f t="shared" ref="AK33:AK50" si="26">$AG$52*W33</f>
        <v>101.71</v>
      </c>
      <c r="AL33" s="3531"/>
      <c r="AM33" s="3531"/>
      <c r="AN33" s="3548">
        <v>100</v>
      </c>
      <c r="AO33" s="3548">
        <v>100</v>
      </c>
      <c r="AP33" s="3548">
        <v>100</v>
      </c>
      <c r="AQ33" s="3548"/>
      <c r="AR33" s="3548">
        <v>100</v>
      </c>
      <c r="AS33" s="3531"/>
    </row>
    <row r="34" spans="1:45" s="2913" customFormat="1" ht="13.2">
      <c r="A34" s="2904" t="s">
        <v>3373</v>
      </c>
      <c r="B34" s="2905">
        <v>2024</v>
      </c>
      <c r="C34" s="2906">
        <v>4</v>
      </c>
      <c r="D34" s="2907"/>
      <c r="E34" s="2907">
        <v>-0.61</v>
      </c>
      <c r="F34" s="2907">
        <v>-0.71</v>
      </c>
      <c r="G34" s="2907">
        <v>-0.88</v>
      </c>
      <c r="H34" s="2908"/>
      <c r="I34" s="2909">
        <f>F34</f>
        <v>-0.71</v>
      </c>
      <c r="J34" s="2910"/>
      <c r="K34" s="2911"/>
      <c r="L34" s="2912">
        <f t="shared" si="21"/>
        <v>-6.0999999999999995E-3</v>
      </c>
      <c r="M34" s="2912">
        <f t="shared" si="21"/>
        <v>-7.0999999999999995E-3</v>
      </c>
      <c r="N34" s="2912">
        <f t="shared" si="21"/>
        <v>-8.8000000000000005E-3</v>
      </c>
      <c r="O34" s="2912"/>
      <c r="P34" s="2912">
        <f t="shared" si="22"/>
        <v>-7.0999999999999995E-3</v>
      </c>
      <c r="Q34" s="2910"/>
      <c r="R34" s="2910"/>
      <c r="S34" s="2910">
        <f>ROUND(IF(项目基本情况!$B$8="出让",SUMPRODUCT(PRODUCT(1+L34:L$49)),SUMPRODUCT(PRODUCT(1+L34:L$48))),4)</f>
        <v>1.0301</v>
      </c>
      <c r="T34" s="2910">
        <f>ROUND(IF(项目基本情况!$B$8="出让",SUMPRODUCT(PRODUCT(1+M34:M$49)),SUMPRODUCT(PRODUCT(1+M34:M$48))),4)</f>
        <v>1.0170999999999999</v>
      </c>
      <c r="U34" s="2910">
        <f>ROUND(IF(项目基本情况!$B$8="出让",SUMPRODUCT(PRODUCT(1+N34:N$49)),SUMPRODUCT(PRODUCT(1+N34:N$48))),4)</f>
        <v>1.0387999999999999</v>
      </c>
      <c r="V34" s="2910"/>
      <c r="W34" s="2910">
        <f t="shared" si="23"/>
        <v>1.0170999999999999</v>
      </c>
      <c r="X34" s="2910"/>
      <c r="Y34" s="2912"/>
      <c r="Z34" s="2928">
        <f t="shared" si="24"/>
        <v>1.6999999999999999E-3</v>
      </c>
      <c r="AA34" s="2929">
        <f t="shared" si="24"/>
        <v>8.9999999999999998E-4</v>
      </c>
      <c r="AB34" s="2912">
        <f t="shared" si="24"/>
        <v>2E-3</v>
      </c>
      <c r="AC34" s="2930"/>
      <c r="AD34" s="2912">
        <f>IF(I34=0,0,ROUND(AVERAGE(I34:I47)/100,4))</f>
        <v>8.9999999999999998E-4</v>
      </c>
      <c r="AE34" s="3531"/>
      <c r="AF34" s="3531"/>
      <c r="AG34" s="3532">
        <f t="shared" si="25"/>
        <v>103.01</v>
      </c>
      <c r="AH34" s="3532">
        <f t="shared" si="25"/>
        <v>101.71</v>
      </c>
      <c r="AI34" s="3532">
        <f t="shared" si="25"/>
        <v>103.88</v>
      </c>
      <c r="AJ34" s="3547"/>
      <c r="AK34" s="3532">
        <f t="shared" si="26"/>
        <v>101.71</v>
      </c>
      <c r="AL34" s="3531"/>
      <c r="AM34" s="3531"/>
      <c r="AN34" s="3532">
        <f>AN33/(1+E33/100)</f>
        <v>100</v>
      </c>
      <c r="AO34" s="3532">
        <f t="shared" ref="AO34:AR49" si="27">AO33/(1+F33/100)</f>
        <v>100</v>
      </c>
      <c r="AP34" s="3532">
        <f t="shared" si="27"/>
        <v>100</v>
      </c>
      <c r="AQ34" s="3532"/>
      <c r="AR34" s="3532">
        <f t="shared" si="27"/>
        <v>100</v>
      </c>
      <c r="AS34" s="3531"/>
    </row>
    <row r="35" spans="1:45" s="2042" customFormat="1" ht="13.2">
      <c r="A35" s="2037" t="s">
        <v>3368</v>
      </c>
      <c r="B35" s="2028">
        <v>2024</v>
      </c>
      <c r="C35" s="2039">
        <v>3</v>
      </c>
      <c r="D35" s="2004"/>
      <c r="E35" s="2004">
        <v>-0.66</v>
      </c>
      <c r="F35" s="2004">
        <v>-0.52</v>
      </c>
      <c r="G35" s="2004">
        <v>-2.87</v>
      </c>
      <c r="H35" s="2004"/>
      <c r="I35" s="2005">
        <f>F35</f>
        <v>-0.52</v>
      </c>
      <c r="J35" s="2903"/>
      <c r="K35" s="2040"/>
      <c r="L35" s="2025">
        <f t="shared" si="21"/>
        <v>-6.6E-3</v>
      </c>
      <c r="M35" s="2025">
        <f t="shared" si="21"/>
        <v>-5.1999999999999998E-3</v>
      </c>
      <c r="N35" s="2025">
        <f t="shared" si="21"/>
        <v>-2.87E-2</v>
      </c>
      <c r="O35" s="2025"/>
      <c r="P35" s="2025">
        <f t="shared" si="22"/>
        <v>-5.1999999999999998E-3</v>
      </c>
      <c r="Q35" s="2903"/>
      <c r="R35" s="2024"/>
      <c r="S35" s="2024">
        <f>ROUND(IF(项目基本情况!$B$8="出让",SUMPRODUCT(PRODUCT(1+L35:L$49)),SUMPRODUCT(PRODUCT(1+L35:L$48))),4)</f>
        <v>1.0364</v>
      </c>
      <c r="T35" s="2024">
        <f>ROUND(IF(项目基本情况!$B$8="出让",SUMPRODUCT(PRODUCT(1+M35:M$49)),SUMPRODUCT(PRODUCT(1+M35:M$48))),4)</f>
        <v>1.0244</v>
      </c>
      <c r="U35" s="2024">
        <f>ROUND(IF(项目基本情况!$B$8="出让",SUMPRODUCT(PRODUCT(1+N35:N$49)),SUMPRODUCT(PRODUCT(1+N35:N$48))),4)</f>
        <v>1.048</v>
      </c>
      <c r="V35" s="2024"/>
      <c r="W35" s="2024">
        <f t="shared" si="23"/>
        <v>1.0244</v>
      </c>
      <c r="X35" s="2903"/>
      <c r="Y35" s="2025"/>
      <c r="Z35" s="2899">
        <f t="shared" ref="Z35:AB36" si="28">IF(E35=0,0,ROUND(AVERAGE(E35:E48)/100,4))</f>
        <v>2.5999999999999999E-3</v>
      </c>
      <c r="AA35" s="2899">
        <f t="shared" si="28"/>
        <v>1.6999999999999999E-3</v>
      </c>
      <c r="AB35" s="2899">
        <f t="shared" si="28"/>
        <v>3.3999999999999998E-3</v>
      </c>
      <c r="AC35" s="2901"/>
      <c r="AD35" s="2025">
        <f>IF(I35=0,0,ROUND(AVERAGE(I35:I48)/100,4))</f>
        <v>1.6999999999999999E-3</v>
      </c>
      <c r="AE35" s="3539"/>
      <c r="AF35" s="3539"/>
      <c r="AG35" s="3540">
        <f t="shared" si="25"/>
        <v>103.64</v>
      </c>
      <c r="AH35" s="3540">
        <f t="shared" si="25"/>
        <v>102.44</v>
      </c>
      <c r="AI35" s="3540">
        <f t="shared" si="25"/>
        <v>104.80000000000001</v>
      </c>
      <c r="AJ35" s="3549"/>
      <c r="AK35" s="3540">
        <f t="shared" si="26"/>
        <v>102.44</v>
      </c>
      <c r="AL35" s="3539"/>
      <c r="AM35" s="3539"/>
      <c r="AN35" s="3540">
        <f t="shared" ref="AN35:AP50" si="29">AN34/(1+E34/100)</f>
        <v>100.61374383740819</v>
      </c>
      <c r="AO35" s="3540">
        <f t="shared" si="27"/>
        <v>100.71507704703394</v>
      </c>
      <c r="AP35" s="3540">
        <f t="shared" si="27"/>
        <v>100.88781275221953</v>
      </c>
      <c r="AQ35" s="3540"/>
      <c r="AR35" s="3540">
        <f t="shared" si="27"/>
        <v>100.71507704703394</v>
      </c>
      <c r="AS35" s="3539"/>
    </row>
    <row r="36" spans="1:45" s="2042" customFormat="1" ht="13.2">
      <c r="A36" s="2902" t="s">
        <v>3374</v>
      </c>
      <c r="B36" s="2028">
        <v>2024</v>
      </c>
      <c r="C36" s="2039">
        <v>2</v>
      </c>
      <c r="D36" s="2004"/>
      <c r="E36" s="2004">
        <v>-0.31</v>
      </c>
      <c r="F36" s="2004">
        <v>-0.39</v>
      </c>
      <c r="G36" s="2004">
        <v>1.23</v>
      </c>
      <c r="H36" s="2914"/>
      <c r="I36" s="2005">
        <f t="shared" ref="I36:I49" si="30">F36</f>
        <v>-0.39</v>
      </c>
      <c r="J36" s="2903"/>
      <c r="K36" s="2040"/>
      <c r="L36" s="2025">
        <f t="shared" ref="L36:N49" si="31">E36/100</f>
        <v>-3.0999999999999999E-3</v>
      </c>
      <c r="M36" s="2025">
        <f t="shared" si="31"/>
        <v>-3.9000000000000003E-3</v>
      </c>
      <c r="N36" s="2025">
        <f t="shared" si="31"/>
        <v>1.23E-2</v>
      </c>
      <c r="O36" s="2025"/>
      <c r="P36" s="2025">
        <f t="shared" si="22"/>
        <v>-3.9000000000000003E-3</v>
      </c>
      <c r="Q36" s="2903"/>
      <c r="R36" s="2024"/>
      <c r="S36" s="2024">
        <f>ROUND(IF(项目基本情况!$B$8="出让",SUMPRODUCT(PRODUCT(1+L36:L$49)),SUMPRODUCT(PRODUCT(1+L36:L$48))),4)</f>
        <v>1.0432999999999999</v>
      </c>
      <c r="T36" s="2024">
        <f>ROUND(IF(项目基本情况!$B$8="出让",SUMPRODUCT(PRODUCT(1+M36:M$49)),SUMPRODUCT(PRODUCT(1+M36:M$48))),4)</f>
        <v>1.0298</v>
      </c>
      <c r="U36" s="2024">
        <f>ROUND(IF(项目基本情况!$B$8="出让",SUMPRODUCT(PRODUCT(1+N36:N$49)),SUMPRODUCT(PRODUCT(1+N36:N$48))),4)</f>
        <v>1.079</v>
      </c>
      <c r="V36" s="2024"/>
      <c r="W36" s="2024">
        <f t="shared" si="23"/>
        <v>1.0298</v>
      </c>
      <c r="X36" s="2903"/>
      <c r="Y36" s="2025"/>
      <c r="Z36" s="2899">
        <f t="shared" si="28"/>
        <v>3.3E-3</v>
      </c>
      <c r="AA36" s="2900">
        <f t="shared" si="28"/>
        <v>2.3999999999999998E-3</v>
      </c>
      <c r="AB36" s="2025">
        <f t="shared" si="28"/>
        <v>6.1999999999999998E-3</v>
      </c>
      <c r="AC36" s="2901"/>
      <c r="AD36" s="2025">
        <f>IF(I36=0,0,ROUND(AVERAGE(I36:I49)/100,4))</f>
        <v>2.3999999999999998E-3</v>
      </c>
      <c r="AE36" s="3531"/>
      <c r="AF36" s="3531"/>
      <c r="AG36" s="3532">
        <f t="shared" si="25"/>
        <v>104.32999999999998</v>
      </c>
      <c r="AH36" s="3532">
        <f t="shared" si="25"/>
        <v>102.98</v>
      </c>
      <c r="AI36" s="3532">
        <f t="shared" si="25"/>
        <v>107.89999999999999</v>
      </c>
      <c r="AJ36" s="3547"/>
      <c r="AK36" s="3532">
        <f t="shared" si="26"/>
        <v>102.98</v>
      </c>
      <c r="AL36" s="3531"/>
      <c r="AM36" s="3531"/>
      <c r="AN36" s="3532">
        <f t="shared" si="29"/>
        <v>101.28220639964586</v>
      </c>
      <c r="AO36" s="3532">
        <f t="shared" si="27"/>
        <v>101.24153301873135</v>
      </c>
      <c r="AP36" s="3532">
        <f t="shared" si="27"/>
        <v>103.86884871020233</v>
      </c>
      <c r="AQ36" s="3532"/>
      <c r="AR36" s="3532">
        <f t="shared" si="27"/>
        <v>101.24153301873135</v>
      </c>
      <c r="AS36" s="3531"/>
    </row>
    <row r="37" spans="1:45" s="2042" customFormat="1" ht="13.2">
      <c r="A37" s="2902" t="s">
        <v>3369</v>
      </c>
      <c r="B37" s="2028">
        <v>2024</v>
      </c>
      <c r="C37" s="2039">
        <v>1</v>
      </c>
      <c r="D37" s="2004"/>
      <c r="E37" s="2004">
        <v>0.25</v>
      </c>
      <c r="F37" s="2004">
        <v>0.4</v>
      </c>
      <c r="G37" s="2004">
        <v>-0.63</v>
      </c>
      <c r="H37" s="2914"/>
      <c r="I37" s="2005">
        <f>F37</f>
        <v>0.4</v>
      </c>
      <c r="J37" s="2903"/>
      <c r="K37" s="2040"/>
      <c r="L37" s="2025">
        <f>E37/100</f>
        <v>2.5000000000000001E-3</v>
      </c>
      <c r="M37" s="2025">
        <f>F37/100</f>
        <v>4.0000000000000001E-3</v>
      </c>
      <c r="N37" s="2025">
        <f>G37/100</f>
        <v>-6.3E-3</v>
      </c>
      <c r="O37" s="2025"/>
      <c r="P37" s="2025">
        <f t="shared" si="22"/>
        <v>4.0000000000000001E-3</v>
      </c>
      <c r="Q37" s="2903"/>
      <c r="R37" s="2024"/>
      <c r="S37" s="2024">
        <f>ROUND(IF(项目基本情况!$B$8="出让",SUMPRODUCT(PRODUCT(1+L37:L$49)),SUMPRODUCT(PRODUCT(1+L37:L$48))),4)</f>
        <v>1.0465</v>
      </c>
      <c r="T37" s="2024">
        <f>ROUND(IF(项目基本情况!$B$8="出让",SUMPRODUCT(PRODUCT(1+M37:M$49)),SUMPRODUCT(PRODUCT(1+M37:M$48))),4)</f>
        <v>1.0338000000000001</v>
      </c>
      <c r="U37" s="2024">
        <f>ROUND(IF(项目基本情况!$B$8="出让",SUMPRODUCT(PRODUCT(1+N37:N$49)),SUMPRODUCT(PRODUCT(1+N37:N$48))),4)</f>
        <v>1.0659000000000001</v>
      </c>
      <c r="V37" s="2024"/>
      <c r="W37" s="2024">
        <f t="shared" si="23"/>
        <v>1.0338000000000001</v>
      </c>
      <c r="X37" s="2903"/>
      <c r="Y37" s="2025"/>
      <c r="Z37" s="2899"/>
      <c r="AA37" s="2900"/>
      <c r="AB37" s="2025"/>
      <c r="AC37" s="2901"/>
      <c r="AD37" s="2025"/>
      <c r="AE37" s="3531"/>
      <c r="AF37" s="3531"/>
      <c r="AG37" s="3532">
        <f t="shared" si="25"/>
        <v>104.65</v>
      </c>
      <c r="AH37" s="3532">
        <f t="shared" si="25"/>
        <v>103.38000000000001</v>
      </c>
      <c r="AI37" s="3532">
        <f t="shared" si="25"/>
        <v>106.59</v>
      </c>
      <c r="AJ37" s="3547"/>
      <c r="AK37" s="3532">
        <f t="shared" si="26"/>
        <v>103.38000000000001</v>
      </c>
      <c r="AL37" s="3531"/>
      <c r="AM37" s="3531"/>
      <c r="AN37" s="3532">
        <f t="shared" si="29"/>
        <v>101.59715758816918</v>
      </c>
      <c r="AO37" s="3532">
        <f t="shared" si="27"/>
        <v>101.63792091028145</v>
      </c>
      <c r="AP37" s="3532">
        <f t="shared" si="27"/>
        <v>102.60678525160756</v>
      </c>
      <c r="AQ37" s="3532"/>
      <c r="AR37" s="3532">
        <f t="shared" si="27"/>
        <v>101.63792091028145</v>
      </c>
      <c r="AS37" s="3531"/>
    </row>
    <row r="38" spans="1:45" s="2042" customFormat="1" ht="13.2">
      <c r="A38" s="2902" t="s">
        <v>3367</v>
      </c>
      <c r="B38" s="2028">
        <v>2023</v>
      </c>
      <c r="C38" s="2039">
        <v>4</v>
      </c>
      <c r="D38" s="2004"/>
      <c r="E38" s="2004">
        <v>7.0000000000000007E-2</v>
      </c>
      <c r="F38" s="2004">
        <v>0.09</v>
      </c>
      <c r="G38" s="2004">
        <v>0.03</v>
      </c>
      <c r="H38" s="2914"/>
      <c r="I38" s="2005">
        <f>F38</f>
        <v>0.09</v>
      </c>
      <c r="J38" s="2903"/>
      <c r="K38" s="2040"/>
      <c r="L38" s="2025">
        <f t="shared" si="31"/>
        <v>7.000000000000001E-4</v>
      </c>
      <c r="M38" s="2025">
        <f t="shared" si="31"/>
        <v>8.9999999999999998E-4</v>
      </c>
      <c r="N38" s="2025">
        <f t="shared" si="31"/>
        <v>2.9999999999999997E-4</v>
      </c>
      <c r="O38" s="2025"/>
      <c r="P38" s="2025">
        <f t="shared" si="22"/>
        <v>8.9999999999999998E-4</v>
      </c>
      <c r="Q38" s="2903"/>
      <c r="R38" s="2024"/>
      <c r="S38" s="2024">
        <f>ROUND(IF(项目基本情况!$B$8="出让",SUMPRODUCT(PRODUCT(1+L38:L$49)),SUMPRODUCT(PRODUCT(1+L38:L$48))),4)</f>
        <v>1.0439000000000001</v>
      </c>
      <c r="T38" s="2024">
        <f>ROUND(IF(项目基本情况!$B$8="出让",SUMPRODUCT(PRODUCT(1+M38:M$49)),SUMPRODUCT(PRODUCT(1+M38:M$48))),4)</f>
        <v>1.0297000000000001</v>
      </c>
      <c r="U38" s="2024">
        <f>ROUND(IF(项目基本情况!$B$8="出让",SUMPRODUCT(PRODUCT(1+N38:N$49)),SUMPRODUCT(PRODUCT(1+N38:N$48))),4)</f>
        <v>1.0727</v>
      </c>
      <c r="V38" s="2024"/>
      <c r="W38" s="2024">
        <f t="shared" si="23"/>
        <v>1.0297000000000001</v>
      </c>
      <c r="X38" s="2903"/>
      <c r="Y38" s="2025"/>
      <c r="Z38" s="2899"/>
      <c r="AA38" s="2900"/>
      <c r="AB38" s="2025"/>
      <c r="AC38" s="2901"/>
      <c r="AD38" s="2025"/>
      <c r="AE38" s="3531"/>
      <c r="AF38" s="3531"/>
      <c r="AG38" s="3532">
        <f t="shared" si="25"/>
        <v>104.39</v>
      </c>
      <c r="AH38" s="3532">
        <f t="shared" si="25"/>
        <v>102.97</v>
      </c>
      <c r="AI38" s="3532">
        <f t="shared" si="25"/>
        <v>107.27</v>
      </c>
      <c r="AJ38" s="3547"/>
      <c r="AK38" s="3532">
        <f t="shared" si="26"/>
        <v>102.97</v>
      </c>
      <c r="AL38" s="3531"/>
      <c r="AM38" s="3531"/>
      <c r="AN38" s="3532">
        <f t="shared" si="29"/>
        <v>101.34379809293685</v>
      </c>
      <c r="AO38" s="3532">
        <f t="shared" si="27"/>
        <v>101.23298895446359</v>
      </c>
      <c r="AP38" s="3532">
        <f t="shared" si="27"/>
        <v>103.25730628117898</v>
      </c>
      <c r="AQ38" s="3532"/>
      <c r="AR38" s="3532">
        <f t="shared" si="27"/>
        <v>101.23298895446359</v>
      </c>
      <c r="AS38" s="3531"/>
    </row>
    <row r="39" spans="1:45" s="2042" customFormat="1" ht="13.2">
      <c r="A39" s="2902" t="s">
        <v>3365</v>
      </c>
      <c r="B39" s="2028">
        <v>2023</v>
      </c>
      <c r="C39" s="2039">
        <v>3</v>
      </c>
      <c r="D39" s="2004"/>
      <c r="E39" s="2004">
        <v>0.35</v>
      </c>
      <c r="F39" s="2004">
        <v>0.17</v>
      </c>
      <c r="G39" s="2004">
        <v>0.52</v>
      </c>
      <c r="H39" s="2914"/>
      <c r="I39" s="2005">
        <f t="shared" si="30"/>
        <v>0.17</v>
      </c>
      <c r="J39" s="2903"/>
      <c r="K39" s="2040"/>
      <c r="L39" s="2025">
        <f t="shared" ref="L39:N41" si="32">E39/100</f>
        <v>3.4999999999999996E-3</v>
      </c>
      <c r="M39" s="2025">
        <f t="shared" si="32"/>
        <v>1.7000000000000001E-3</v>
      </c>
      <c r="N39" s="2025">
        <f t="shared" si="32"/>
        <v>5.1999999999999998E-3</v>
      </c>
      <c r="O39" s="2025"/>
      <c r="P39" s="2025">
        <f t="shared" si="22"/>
        <v>1.7000000000000001E-3</v>
      </c>
      <c r="Q39" s="2903"/>
      <c r="R39" s="2024"/>
      <c r="S39" s="2024">
        <f>ROUND(IF(项目基本情况!$B$8="出让",SUMPRODUCT(PRODUCT(1+L39:L$49)),SUMPRODUCT(PRODUCT(1+L39:L$48))),4)</f>
        <v>1.0431999999999999</v>
      </c>
      <c r="T39" s="2024">
        <f>ROUND(IF(项目基本情况!$B$8="出让",SUMPRODUCT(PRODUCT(1+M39:M$49)),SUMPRODUCT(PRODUCT(1+M39:M$48))),4)</f>
        <v>1.0286999999999999</v>
      </c>
      <c r="U39" s="2024">
        <f>ROUND(IF(项目基本情况!$B$8="出让",SUMPRODUCT(PRODUCT(1+N39:N$49)),SUMPRODUCT(PRODUCT(1+N39:N$48))),4)</f>
        <v>1.0723</v>
      </c>
      <c r="V39" s="2024"/>
      <c r="W39" s="2024">
        <f t="shared" si="23"/>
        <v>1.0286999999999999</v>
      </c>
      <c r="X39" s="2903"/>
      <c r="Y39" s="2025"/>
      <c r="Z39" s="2899"/>
      <c r="AA39" s="2900"/>
      <c r="AB39" s="2025"/>
      <c r="AC39" s="2901"/>
      <c r="AD39" s="2025"/>
      <c r="AE39" s="3531"/>
      <c r="AF39" s="3531"/>
      <c r="AG39" s="3532">
        <f t="shared" si="25"/>
        <v>104.32</v>
      </c>
      <c r="AH39" s="3532">
        <f t="shared" si="25"/>
        <v>102.86999999999999</v>
      </c>
      <c r="AI39" s="3532">
        <f t="shared" si="25"/>
        <v>107.23</v>
      </c>
      <c r="AJ39" s="3547"/>
      <c r="AK39" s="3532">
        <f t="shared" si="26"/>
        <v>102.86999999999999</v>
      </c>
      <c r="AL39" s="3531"/>
      <c r="AM39" s="3531"/>
      <c r="AN39" s="3532">
        <f t="shared" si="29"/>
        <v>101.27290705799626</v>
      </c>
      <c r="AO39" s="3532">
        <f t="shared" si="27"/>
        <v>101.14196118939314</v>
      </c>
      <c r="AP39" s="3532">
        <f t="shared" si="27"/>
        <v>103.22633837966509</v>
      </c>
      <c r="AQ39" s="3532"/>
      <c r="AR39" s="3532">
        <f t="shared" si="27"/>
        <v>101.14196118939314</v>
      </c>
      <c r="AS39" s="3531"/>
    </row>
    <row r="40" spans="1:45" s="2042" customFormat="1" ht="13.2">
      <c r="A40" s="2902" t="s">
        <v>3364</v>
      </c>
      <c r="B40" s="2028">
        <v>2023</v>
      </c>
      <c r="C40" s="2039">
        <v>2</v>
      </c>
      <c r="D40" s="2004"/>
      <c r="E40" s="2004">
        <v>0.5</v>
      </c>
      <c r="F40" s="2004">
        <v>0.45</v>
      </c>
      <c r="G40" s="2004">
        <v>0.89</v>
      </c>
      <c r="H40" s="2914"/>
      <c r="I40" s="2005">
        <f t="shared" si="30"/>
        <v>0.45</v>
      </c>
      <c r="J40" s="2903"/>
      <c r="K40" s="2040"/>
      <c r="L40" s="2025">
        <f t="shared" si="32"/>
        <v>5.0000000000000001E-3</v>
      </c>
      <c r="M40" s="2025">
        <f t="shared" si="32"/>
        <v>4.5000000000000005E-3</v>
      </c>
      <c r="N40" s="2025">
        <f t="shared" si="32"/>
        <v>8.8999999999999999E-3</v>
      </c>
      <c r="O40" s="2025"/>
      <c r="P40" s="2025">
        <f t="shared" si="22"/>
        <v>4.5000000000000005E-3</v>
      </c>
      <c r="Q40" s="2903"/>
      <c r="R40" s="2024"/>
      <c r="S40" s="2024">
        <f>ROUND(IF(项目基本情况!$B$8="出让",SUMPRODUCT(PRODUCT(1+L40:L$49)),SUMPRODUCT(PRODUCT(1+L40:L$48))),4)</f>
        <v>1.0396000000000001</v>
      </c>
      <c r="T40" s="2024">
        <f>ROUND(IF(项目基本情况!$B$8="出让",SUMPRODUCT(PRODUCT(1+M40:M$49)),SUMPRODUCT(PRODUCT(1+M40:M$48))),4)</f>
        <v>1.0269999999999999</v>
      </c>
      <c r="U40" s="2024">
        <f>ROUND(IF(项目基本情况!$B$8="出让",SUMPRODUCT(PRODUCT(1+N40:N$49)),SUMPRODUCT(PRODUCT(1+N40:N$48))),4)</f>
        <v>1.0668</v>
      </c>
      <c r="V40" s="2024"/>
      <c r="W40" s="2024">
        <f t="shared" si="23"/>
        <v>1.0269999999999999</v>
      </c>
      <c r="X40" s="2903"/>
      <c r="Y40" s="2025"/>
      <c r="Z40" s="2899"/>
      <c r="AA40" s="2900"/>
      <c r="AB40" s="2025"/>
      <c r="AC40" s="2901"/>
      <c r="AD40" s="2025"/>
      <c r="AE40" s="3531"/>
      <c r="AF40" s="3531"/>
      <c r="AG40" s="3532">
        <f t="shared" si="25"/>
        <v>103.96000000000001</v>
      </c>
      <c r="AH40" s="3532">
        <f t="shared" si="25"/>
        <v>102.69999999999999</v>
      </c>
      <c r="AI40" s="3532">
        <f t="shared" si="25"/>
        <v>106.67999999999999</v>
      </c>
      <c r="AJ40" s="3547"/>
      <c r="AK40" s="3532">
        <f t="shared" si="26"/>
        <v>102.69999999999999</v>
      </c>
      <c r="AL40" s="3531"/>
      <c r="AM40" s="3531"/>
      <c r="AN40" s="3532">
        <f t="shared" si="29"/>
        <v>100.9196881494731</v>
      </c>
      <c r="AO40" s="3532">
        <f t="shared" si="27"/>
        <v>100.97031165957186</v>
      </c>
      <c r="AP40" s="3532">
        <f t="shared" si="27"/>
        <v>102.69233822091633</v>
      </c>
      <c r="AQ40" s="3532"/>
      <c r="AR40" s="3532">
        <f t="shared" si="27"/>
        <v>100.97031165957186</v>
      </c>
      <c r="AS40" s="3531"/>
    </row>
    <row r="41" spans="1:45" s="2042" customFormat="1" ht="13.2">
      <c r="A41" s="2902" t="s">
        <v>3362</v>
      </c>
      <c r="B41" s="2028">
        <v>2023</v>
      </c>
      <c r="C41" s="2039">
        <v>1</v>
      </c>
      <c r="D41" s="2004"/>
      <c r="E41" s="2004">
        <v>0.55000000000000004</v>
      </c>
      <c r="F41" s="2004">
        <v>0.59</v>
      </c>
      <c r="G41" s="2004">
        <v>0.64</v>
      </c>
      <c r="H41" s="2914"/>
      <c r="I41" s="2005">
        <f t="shared" si="30"/>
        <v>0.59</v>
      </c>
      <c r="J41" s="2903"/>
      <c r="K41" s="2040"/>
      <c r="L41" s="2025">
        <f t="shared" si="32"/>
        <v>5.5000000000000005E-3</v>
      </c>
      <c r="M41" s="2025">
        <f t="shared" si="32"/>
        <v>5.8999999999999999E-3</v>
      </c>
      <c r="N41" s="2025">
        <f t="shared" si="32"/>
        <v>6.4000000000000003E-3</v>
      </c>
      <c r="O41" s="2025"/>
      <c r="P41" s="2025">
        <f t="shared" si="22"/>
        <v>5.8999999999999999E-3</v>
      </c>
      <c r="Q41" s="2903"/>
      <c r="R41" s="2024"/>
      <c r="S41" s="2024">
        <f>ROUND(IF(项目基本情况!$B$8="出让",SUMPRODUCT(PRODUCT(1+L41:L$49)),SUMPRODUCT(PRODUCT(1+L41:L$48))),4)</f>
        <v>1.0344</v>
      </c>
      <c r="T41" s="2024">
        <f>ROUND(IF(项目基本情况!$B$8="出让",SUMPRODUCT(PRODUCT(1+M41:M$49)),SUMPRODUCT(PRODUCT(1+M41:M$48))),4)</f>
        <v>1.0224</v>
      </c>
      <c r="U41" s="2024">
        <f>ROUND(IF(项目基本情况!$B$8="出让",SUMPRODUCT(PRODUCT(1+N41:N$49)),SUMPRODUCT(PRODUCT(1+N41:N$48))),4)</f>
        <v>1.0573999999999999</v>
      </c>
      <c r="V41" s="2024"/>
      <c r="W41" s="2024">
        <f t="shared" si="23"/>
        <v>1.0224</v>
      </c>
      <c r="X41" s="2903"/>
      <c r="Y41" s="2025"/>
      <c r="Z41" s="2899"/>
      <c r="AA41" s="2900"/>
      <c r="AB41" s="2025"/>
      <c r="AC41" s="2901"/>
      <c r="AD41" s="2025"/>
      <c r="AE41" s="3531"/>
      <c r="AF41" s="3531"/>
      <c r="AG41" s="3532">
        <f t="shared" si="25"/>
        <v>103.44</v>
      </c>
      <c r="AH41" s="3532">
        <f t="shared" si="25"/>
        <v>102.24</v>
      </c>
      <c r="AI41" s="3532">
        <f t="shared" si="25"/>
        <v>105.74</v>
      </c>
      <c r="AJ41" s="3547"/>
      <c r="AK41" s="3532">
        <f t="shared" si="26"/>
        <v>102.24</v>
      </c>
      <c r="AL41" s="3531"/>
      <c r="AM41" s="3531"/>
      <c r="AN41" s="3532">
        <f t="shared" si="29"/>
        <v>100.41760014872946</v>
      </c>
      <c r="AO41" s="3532">
        <f t="shared" si="27"/>
        <v>100.51798074621391</v>
      </c>
      <c r="AP41" s="3532">
        <f t="shared" si="27"/>
        <v>101.78643891457661</v>
      </c>
      <c r="AQ41" s="3532"/>
      <c r="AR41" s="3532">
        <f t="shared" si="27"/>
        <v>100.51798074621391</v>
      </c>
      <c r="AS41" s="3531"/>
    </row>
    <row r="42" spans="1:45" s="2042" customFormat="1" ht="13.2">
      <c r="A42" s="2902" t="s">
        <v>3361</v>
      </c>
      <c r="B42" s="2028">
        <v>2022</v>
      </c>
      <c r="C42" s="2039">
        <v>4</v>
      </c>
      <c r="D42" s="2004"/>
      <c r="E42" s="2004">
        <v>0.45</v>
      </c>
      <c r="F42" s="2004">
        <v>0.2</v>
      </c>
      <c r="G42" s="2004">
        <v>0.38</v>
      </c>
      <c r="H42" s="2914"/>
      <c r="I42" s="2005">
        <f t="shared" si="30"/>
        <v>0.2</v>
      </c>
      <c r="J42" s="2903"/>
      <c r="K42" s="2040"/>
      <c r="L42" s="2025">
        <f t="shared" si="31"/>
        <v>4.5000000000000005E-3</v>
      </c>
      <c r="M42" s="2025">
        <f t="shared" si="31"/>
        <v>2E-3</v>
      </c>
      <c r="N42" s="2025">
        <f t="shared" si="31"/>
        <v>3.8E-3</v>
      </c>
      <c r="O42" s="2025"/>
      <c r="P42" s="2025">
        <f t="shared" ref="P42:P49" si="33">M42</f>
        <v>2E-3</v>
      </c>
      <c r="Q42" s="2903"/>
      <c r="R42" s="2024"/>
      <c r="S42" s="2024">
        <f>ROUND(IF(项目基本情况!$B$8="出让",SUMPRODUCT(PRODUCT(1+L42:L$49)),SUMPRODUCT(PRODUCT(1+L42:L$48))),4)</f>
        <v>1.0286999999999999</v>
      </c>
      <c r="T42" s="2024">
        <f>ROUND(IF(项目基本情况!$B$8="出让",SUMPRODUCT(PRODUCT(1+M42:M$49)),SUMPRODUCT(PRODUCT(1+M42:M$48))),4)</f>
        <v>1.0164</v>
      </c>
      <c r="U42" s="2024">
        <f>ROUND(IF(项目基本情况!$B$8="出让",SUMPRODUCT(PRODUCT(1+N42:N$49)),SUMPRODUCT(PRODUCT(1+N42:N$48))),4)</f>
        <v>1.0506</v>
      </c>
      <c r="V42" s="2024"/>
      <c r="W42" s="2024">
        <f t="shared" ref="W42:W49" si="34">T42</f>
        <v>1.0164</v>
      </c>
      <c r="X42" s="2903"/>
      <c r="Y42" s="2025"/>
      <c r="Z42" s="2899">
        <f t="shared" ref="Z42:AD49" si="35">IF(E42=0,0,ROUND(AVERAGE(E42:E50)/100,4))</f>
        <v>4.0000000000000001E-3</v>
      </c>
      <c r="AA42" s="2900">
        <f t="shared" si="35"/>
        <v>2.5999999999999999E-3</v>
      </c>
      <c r="AB42" s="2025">
        <f t="shared" si="35"/>
        <v>7.4000000000000003E-3</v>
      </c>
      <c r="AC42" s="2901"/>
      <c r="AD42" s="2025">
        <f t="shared" si="35"/>
        <v>2.5999999999999999E-3</v>
      </c>
      <c r="AE42" s="3531"/>
      <c r="AF42" s="3531"/>
      <c r="AG42" s="3532">
        <f t="shared" si="25"/>
        <v>102.86999999999999</v>
      </c>
      <c r="AH42" s="3532">
        <f t="shared" si="25"/>
        <v>101.64</v>
      </c>
      <c r="AI42" s="3532">
        <f t="shared" si="25"/>
        <v>105.06</v>
      </c>
      <c r="AJ42" s="3547"/>
      <c r="AK42" s="3532">
        <f t="shared" si="26"/>
        <v>101.64</v>
      </c>
      <c r="AL42" s="3531"/>
      <c r="AM42" s="3531"/>
      <c r="AN42" s="3532">
        <f t="shared" si="29"/>
        <v>99.868324364723478</v>
      </c>
      <c r="AO42" s="3532">
        <f t="shared" si="27"/>
        <v>99.928403167525502</v>
      </c>
      <c r="AP42" s="3532">
        <f t="shared" si="27"/>
        <v>101.13914836504036</v>
      </c>
      <c r="AQ42" s="3532"/>
      <c r="AR42" s="3532">
        <f t="shared" si="27"/>
        <v>99.928403167525502</v>
      </c>
      <c r="AS42" s="3531"/>
    </row>
    <row r="43" spans="1:45" s="2042" customFormat="1" ht="13.2">
      <c r="A43" s="2902" t="s">
        <v>3360</v>
      </c>
      <c r="B43" s="2028">
        <v>2022</v>
      </c>
      <c r="C43" s="2039">
        <v>3</v>
      </c>
      <c r="D43" s="2004"/>
      <c r="E43" s="2004">
        <v>0.3</v>
      </c>
      <c r="F43" s="2004">
        <v>0.28999999999999998</v>
      </c>
      <c r="G43" s="2004">
        <v>0.83</v>
      </c>
      <c r="H43" s="2914"/>
      <c r="I43" s="2005">
        <f t="shared" si="30"/>
        <v>0.28999999999999998</v>
      </c>
      <c r="J43" s="2903"/>
      <c r="K43" s="2040"/>
      <c r="L43" s="2025">
        <f t="shared" si="31"/>
        <v>3.0000000000000001E-3</v>
      </c>
      <c r="M43" s="2025">
        <f t="shared" si="31"/>
        <v>2.8999999999999998E-3</v>
      </c>
      <c r="N43" s="2025">
        <f t="shared" si="31"/>
        <v>8.3000000000000001E-3</v>
      </c>
      <c r="O43" s="2025"/>
      <c r="P43" s="2025">
        <f t="shared" si="33"/>
        <v>2.8999999999999998E-3</v>
      </c>
      <c r="Q43" s="2903"/>
      <c r="R43" s="2024"/>
      <c r="S43" s="2024">
        <f>ROUND(IF(项目基本情况!$B$8="出让",SUMPRODUCT(PRODUCT(1+L43:L$49)),SUMPRODUCT(PRODUCT(1+L43:L$48))),4)</f>
        <v>1.0241</v>
      </c>
      <c r="T43" s="2024">
        <f>ROUND(IF(项目基本情况!$B$8="出让",SUMPRODUCT(PRODUCT(1+M43:M$49)),SUMPRODUCT(PRODUCT(1+M43:M$48))),4)</f>
        <v>1.0144</v>
      </c>
      <c r="U43" s="2024">
        <f>ROUND(IF(项目基本情况!$B$8="出让",SUMPRODUCT(PRODUCT(1+N43:N$49)),SUMPRODUCT(PRODUCT(1+N43:N$48))),4)</f>
        <v>1.0467</v>
      </c>
      <c r="V43" s="2024"/>
      <c r="W43" s="2024">
        <f t="shared" si="34"/>
        <v>1.0144</v>
      </c>
      <c r="X43" s="2903"/>
      <c r="Y43" s="2025"/>
      <c r="Z43" s="2899">
        <f t="shared" si="35"/>
        <v>3.8999999999999998E-3</v>
      </c>
      <c r="AA43" s="2900">
        <f t="shared" si="35"/>
        <v>2.7000000000000001E-3</v>
      </c>
      <c r="AB43" s="2025">
        <f t="shared" si="35"/>
        <v>7.9000000000000008E-3</v>
      </c>
      <c r="AC43" s="2901"/>
      <c r="AD43" s="2025">
        <f t="shared" si="35"/>
        <v>2.7000000000000001E-3</v>
      </c>
      <c r="AE43" s="3531"/>
      <c r="AF43" s="3531"/>
      <c r="AG43" s="3532">
        <f t="shared" si="25"/>
        <v>102.41</v>
      </c>
      <c r="AH43" s="3532">
        <f t="shared" si="25"/>
        <v>101.44</v>
      </c>
      <c r="AI43" s="3532">
        <f t="shared" si="25"/>
        <v>104.67</v>
      </c>
      <c r="AJ43" s="3547"/>
      <c r="AK43" s="3532">
        <f t="shared" si="26"/>
        <v>101.44</v>
      </c>
      <c r="AL43" s="3531"/>
      <c r="AM43" s="3531"/>
      <c r="AN43" s="3532">
        <f t="shared" si="29"/>
        <v>99.420930178918354</v>
      </c>
      <c r="AO43" s="3532">
        <f t="shared" si="27"/>
        <v>99.728945276971558</v>
      </c>
      <c r="AP43" s="3532">
        <f t="shared" si="27"/>
        <v>100.75627452185729</v>
      </c>
      <c r="AQ43" s="3532"/>
      <c r="AR43" s="3532">
        <f t="shared" si="27"/>
        <v>99.728945276971558</v>
      </c>
      <c r="AS43" s="3531"/>
    </row>
    <row r="44" spans="1:45" s="2042" customFormat="1" ht="13.2">
      <c r="A44" s="2902" t="s">
        <v>3350</v>
      </c>
      <c r="B44" s="2028">
        <v>2022</v>
      </c>
      <c r="C44" s="2039">
        <v>2</v>
      </c>
      <c r="D44" s="2004"/>
      <c r="E44" s="2004">
        <v>-0.11</v>
      </c>
      <c r="F44" s="2004">
        <v>-0.13</v>
      </c>
      <c r="G44" s="2004">
        <v>0.53</v>
      </c>
      <c r="H44" s="2914"/>
      <c r="I44" s="2005">
        <f t="shared" si="30"/>
        <v>-0.13</v>
      </c>
      <c r="J44" s="2903"/>
      <c r="K44" s="2040"/>
      <c r="L44" s="2025">
        <f t="shared" si="31"/>
        <v>-1.1000000000000001E-3</v>
      </c>
      <c r="M44" s="2025">
        <f t="shared" si="31"/>
        <v>-1.2999999999999999E-3</v>
      </c>
      <c r="N44" s="2025">
        <f t="shared" si="31"/>
        <v>5.3E-3</v>
      </c>
      <c r="O44" s="2025"/>
      <c r="P44" s="2025">
        <f t="shared" si="33"/>
        <v>-1.2999999999999999E-3</v>
      </c>
      <c r="Q44" s="2903"/>
      <c r="R44" s="2024"/>
      <c r="S44" s="2024">
        <f>ROUND(IF(项目基本情况!$B$8="出让",SUMPRODUCT(PRODUCT(1+L44:L$49)),SUMPRODUCT(PRODUCT(1+L44:L$48))),4)</f>
        <v>1.0210999999999999</v>
      </c>
      <c r="T44" s="2024">
        <f>ROUND(IF(项目基本情况!$B$8="出让",SUMPRODUCT(PRODUCT(1+M44:M$49)),SUMPRODUCT(PRODUCT(1+M44:M$48))),4)</f>
        <v>1.0114000000000001</v>
      </c>
      <c r="U44" s="2024">
        <f>ROUND(IF(项目基本情况!$B$8="出让",SUMPRODUCT(PRODUCT(1+N44:N$49)),SUMPRODUCT(PRODUCT(1+N44:N$48))),4)</f>
        <v>1.0381</v>
      </c>
      <c r="V44" s="2024"/>
      <c r="W44" s="2024">
        <f t="shared" si="34"/>
        <v>1.0114000000000001</v>
      </c>
      <c r="X44" s="2903"/>
      <c r="Y44" s="2025"/>
      <c r="Z44" s="2899">
        <f t="shared" si="35"/>
        <v>4.1000000000000003E-3</v>
      </c>
      <c r="AA44" s="2900">
        <f t="shared" si="35"/>
        <v>2.7000000000000001E-3</v>
      </c>
      <c r="AB44" s="2025">
        <f t="shared" si="35"/>
        <v>7.9000000000000008E-3</v>
      </c>
      <c r="AC44" s="2901"/>
      <c r="AD44" s="2025">
        <f t="shared" si="35"/>
        <v>2.7000000000000001E-3</v>
      </c>
      <c r="AE44" s="3531"/>
      <c r="AF44" s="3531"/>
      <c r="AG44" s="3532">
        <f t="shared" si="25"/>
        <v>102.10999999999999</v>
      </c>
      <c r="AH44" s="3532">
        <f t="shared" si="25"/>
        <v>101.14000000000001</v>
      </c>
      <c r="AI44" s="3532">
        <f t="shared" si="25"/>
        <v>103.81</v>
      </c>
      <c r="AJ44" s="3547"/>
      <c r="AK44" s="3532">
        <f t="shared" si="26"/>
        <v>101.14000000000001</v>
      </c>
      <c r="AL44" s="3531"/>
      <c r="AM44" s="3531"/>
      <c r="AN44" s="3532">
        <f t="shared" si="29"/>
        <v>99.123559500417116</v>
      </c>
      <c r="AO44" s="3532">
        <f t="shared" si="27"/>
        <v>99.440567630842125</v>
      </c>
      <c r="AP44" s="3532">
        <f t="shared" si="27"/>
        <v>99.926881406185956</v>
      </c>
      <c r="AQ44" s="3532"/>
      <c r="AR44" s="3532">
        <f t="shared" si="27"/>
        <v>99.440567630842125</v>
      </c>
      <c r="AS44" s="3531"/>
    </row>
    <row r="45" spans="1:45" s="2042" customFormat="1" ht="13.2">
      <c r="A45" s="2902" t="s">
        <v>2831</v>
      </c>
      <c r="B45" s="2028">
        <v>2022</v>
      </c>
      <c r="C45" s="2039">
        <v>1</v>
      </c>
      <c r="D45" s="2004"/>
      <c r="E45" s="2004">
        <v>0.6</v>
      </c>
      <c r="F45" s="2004">
        <v>0.45</v>
      </c>
      <c r="G45" s="2004">
        <v>0.53</v>
      </c>
      <c r="H45" s="2914"/>
      <c r="I45" s="2005">
        <f t="shared" si="30"/>
        <v>0.45</v>
      </c>
      <c r="J45" s="2903"/>
      <c r="K45" s="2040"/>
      <c r="L45" s="2025">
        <f t="shared" si="31"/>
        <v>6.0000000000000001E-3</v>
      </c>
      <c r="M45" s="2025">
        <f t="shared" si="31"/>
        <v>4.5000000000000005E-3</v>
      </c>
      <c r="N45" s="2025">
        <f t="shared" si="31"/>
        <v>5.3E-3</v>
      </c>
      <c r="O45" s="2025"/>
      <c r="P45" s="2025">
        <f t="shared" si="33"/>
        <v>4.5000000000000005E-3</v>
      </c>
      <c r="Q45" s="2903"/>
      <c r="R45" s="2024"/>
      <c r="S45" s="2024">
        <f>ROUND(IF(项目基本情况!$B$8="出让",SUMPRODUCT(PRODUCT(1+L45:L$49)),SUMPRODUCT(PRODUCT(1+L45:L$48))),4)</f>
        <v>1.0222</v>
      </c>
      <c r="T45" s="2024">
        <f>ROUND(IF(项目基本情况!$B$8="出让",SUMPRODUCT(PRODUCT(1+M45:M$49)),SUMPRODUCT(PRODUCT(1+M45:M$48))),4)</f>
        <v>1.0127999999999999</v>
      </c>
      <c r="U45" s="2024">
        <f>ROUND(IF(项目基本情况!$B$8="出让",SUMPRODUCT(PRODUCT(1+N45:N$49)),SUMPRODUCT(PRODUCT(1+N45:N$48))),4)</f>
        <v>1.0326</v>
      </c>
      <c r="V45" s="2024"/>
      <c r="W45" s="2024">
        <f t="shared" si="34"/>
        <v>1.0127999999999999</v>
      </c>
      <c r="X45" s="2903"/>
      <c r="Y45" s="2025"/>
      <c r="Z45" s="2899">
        <f t="shared" si="35"/>
        <v>5.1000000000000004E-3</v>
      </c>
      <c r="AA45" s="2900">
        <f t="shared" si="35"/>
        <v>3.5000000000000001E-3</v>
      </c>
      <c r="AB45" s="2025">
        <f t="shared" si="35"/>
        <v>8.3999999999999995E-3</v>
      </c>
      <c r="AC45" s="2901"/>
      <c r="AD45" s="2025">
        <f t="shared" si="35"/>
        <v>3.5000000000000001E-3</v>
      </c>
      <c r="AE45" s="3531"/>
      <c r="AF45" s="3531"/>
      <c r="AG45" s="3532">
        <f t="shared" si="25"/>
        <v>102.22</v>
      </c>
      <c r="AH45" s="3532">
        <f t="shared" si="25"/>
        <v>101.27999999999999</v>
      </c>
      <c r="AI45" s="3532">
        <f t="shared" si="25"/>
        <v>103.25999999999999</v>
      </c>
      <c r="AJ45" s="3547"/>
      <c r="AK45" s="3532">
        <f t="shared" si="26"/>
        <v>101.27999999999999</v>
      </c>
      <c r="AL45" s="3531"/>
      <c r="AM45" s="3531"/>
      <c r="AN45" s="3532">
        <f t="shared" si="29"/>
        <v>99.232715487453319</v>
      </c>
      <c r="AO45" s="3532">
        <f t="shared" si="27"/>
        <v>99.570008642076829</v>
      </c>
      <c r="AP45" s="3532">
        <f t="shared" si="27"/>
        <v>99.400061082448971</v>
      </c>
      <c r="AQ45" s="3532"/>
      <c r="AR45" s="3532">
        <f t="shared" si="27"/>
        <v>99.570008642076829</v>
      </c>
      <c r="AS45" s="3531"/>
    </row>
    <row r="46" spans="1:45" s="2042" customFormat="1" ht="13.2">
      <c r="A46" s="2902" t="s">
        <v>2832</v>
      </c>
      <c r="B46" s="2028">
        <v>2021</v>
      </c>
      <c r="C46" s="2039">
        <v>4</v>
      </c>
      <c r="D46" s="2004"/>
      <c r="E46" s="2004">
        <v>0.57999999999999996</v>
      </c>
      <c r="F46" s="2004">
        <v>0.08</v>
      </c>
      <c r="G46" s="2004">
        <v>0.68</v>
      </c>
      <c r="H46" s="2914"/>
      <c r="I46" s="2005">
        <f t="shared" si="30"/>
        <v>0.08</v>
      </c>
      <c r="J46" s="2903"/>
      <c r="K46" s="2040"/>
      <c r="L46" s="2025">
        <f t="shared" si="31"/>
        <v>5.7999999999999996E-3</v>
      </c>
      <c r="M46" s="2025">
        <f t="shared" si="31"/>
        <v>8.0000000000000004E-4</v>
      </c>
      <c r="N46" s="2025">
        <f t="shared" si="31"/>
        <v>6.8000000000000005E-3</v>
      </c>
      <c r="O46" s="2025"/>
      <c r="P46" s="2025">
        <f t="shared" si="33"/>
        <v>8.0000000000000004E-4</v>
      </c>
      <c r="Q46" s="2903"/>
      <c r="R46" s="2024"/>
      <c r="S46" s="2024">
        <f>ROUND(IF(项目基本情况!$B$8="出让",SUMPRODUCT(PRODUCT(1+L46:L$49)),SUMPRODUCT(PRODUCT(1+L46:L$48))),4)</f>
        <v>1.0161</v>
      </c>
      <c r="T46" s="2024">
        <f>ROUND(IF(项目基本情况!$B$8="出让",SUMPRODUCT(PRODUCT(1+M46:M$49)),SUMPRODUCT(PRODUCT(1+M46:M$48))),4)</f>
        <v>1.0082</v>
      </c>
      <c r="U46" s="2024">
        <f>ROUND(IF(项目基本情况!$B$8="出让",SUMPRODUCT(PRODUCT(1+N46:N$49)),SUMPRODUCT(PRODUCT(1+N46:N$48))),4)</f>
        <v>1.0270999999999999</v>
      </c>
      <c r="V46" s="2024"/>
      <c r="W46" s="2024">
        <f t="shared" si="34"/>
        <v>1.0082</v>
      </c>
      <c r="X46" s="2903"/>
      <c r="Y46" s="2025"/>
      <c r="Z46" s="2899">
        <f t="shared" si="35"/>
        <v>4.8999999999999998E-3</v>
      </c>
      <c r="AA46" s="2900">
        <f t="shared" si="35"/>
        <v>3.3E-3</v>
      </c>
      <c r="AB46" s="2025">
        <f t="shared" si="35"/>
        <v>9.1999999999999998E-3</v>
      </c>
      <c r="AC46" s="2901"/>
      <c r="AD46" s="2025">
        <f t="shared" si="35"/>
        <v>3.3E-3</v>
      </c>
      <c r="AE46" s="3531"/>
      <c r="AF46" s="3531"/>
      <c r="AG46" s="3532">
        <f t="shared" si="25"/>
        <v>101.61</v>
      </c>
      <c r="AH46" s="3532">
        <f t="shared" si="25"/>
        <v>100.82</v>
      </c>
      <c r="AI46" s="3532">
        <f t="shared" si="25"/>
        <v>102.71</v>
      </c>
      <c r="AJ46" s="3547"/>
      <c r="AK46" s="3532">
        <f t="shared" si="26"/>
        <v>100.82</v>
      </c>
      <c r="AL46" s="3531"/>
      <c r="AM46" s="3531"/>
      <c r="AN46" s="3532">
        <f t="shared" si="29"/>
        <v>98.640870265858169</v>
      </c>
      <c r="AO46" s="3532">
        <f t="shared" si="27"/>
        <v>99.123950863192462</v>
      </c>
      <c r="AP46" s="3532">
        <f t="shared" si="27"/>
        <v>98.876018186062836</v>
      </c>
      <c r="AQ46" s="3532"/>
      <c r="AR46" s="3532">
        <f t="shared" si="27"/>
        <v>99.123950863192462</v>
      </c>
      <c r="AS46" s="3531"/>
    </row>
    <row r="47" spans="1:45" s="2042" customFormat="1" ht="13.2">
      <c r="A47" s="2902" t="s">
        <v>2833</v>
      </c>
      <c r="B47" s="2028">
        <v>2021</v>
      </c>
      <c r="C47" s="2039">
        <v>3</v>
      </c>
      <c r="D47" s="2004"/>
      <c r="E47" s="2004">
        <v>0.47</v>
      </c>
      <c r="F47" s="2004">
        <v>0.28000000000000003</v>
      </c>
      <c r="G47" s="2004">
        <v>0.91</v>
      </c>
      <c r="H47" s="2914"/>
      <c r="I47" s="2005">
        <f t="shared" si="30"/>
        <v>0.28000000000000003</v>
      </c>
      <c r="J47" s="2903"/>
      <c r="K47" s="2040"/>
      <c r="L47" s="2025">
        <f t="shared" si="31"/>
        <v>4.6999999999999993E-3</v>
      </c>
      <c r="M47" s="2025">
        <f t="shared" si="31"/>
        <v>2.8000000000000004E-3</v>
      </c>
      <c r="N47" s="2025">
        <f t="shared" si="31"/>
        <v>9.1000000000000004E-3</v>
      </c>
      <c r="O47" s="2025"/>
      <c r="P47" s="2025">
        <f t="shared" si="33"/>
        <v>2.8000000000000004E-3</v>
      </c>
      <c r="Q47" s="2903"/>
      <c r="R47" s="2024"/>
      <c r="S47" s="2024">
        <f>ROUND(IF(项目基本情况!$B$8="出让",SUMPRODUCT(PRODUCT(1+L47:L$49)),SUMPRODUCT(PRODUCT(1+L47:L$48))),4)</f>
        <v>1.0102</v>
      </c>
      <c r="T47" s="2024">
        <f>ROUND(IF(项目基本情况!$B$8="出让",SUMPRODUCT(PRODUCT(1+M47:M$49)),SUMPRODUCT(PRODUCT(1+M47:M$48))),4)</f>
        <v>1.0074000000000001</v>
      </c>
      <c r="U47" s="2024">
        <f>ROUND(IF(项目基本情况!$B$8="出让",SUMPRODUCT(PRODUCT(1+N47:N$49)),SUMPRODUCT(PRODUCT(1+N47:N$48))),4)</f>
        <v>1.0202</v>
      </c>
      <c r="V47" s="2024"/>
      <c r="W47" s="2024">
        <f t="shared" si="34"/>
        <v>1.0074000000000001</v>
      </c>
      <c r="X47" s="2903"/>
      <c r="Y47" s="2025"/>
      <c r="Z47" s="2899">
        <f t="shared" si="35"/>
        <v>4.5999999999999999E-3</v>
      </c>
      <c r="AA47" s="2900">
        <f t="shared" si="35"/>
        <v>4.1000000000000003E-3</v>
      </c>
      <c r="AB47" s="2025">
        <f t="shared" si="35"/>
        <v>0.01</v>
      </c>
      <c r="AC47" s="2901"/>
      <c r="AD47" s="2025">
        <f t="shared" si="35"/>
        <v>4.1000000000000003E-3</v>
      </c>
      <c r="AE47" s="3531"/>
      <c r="AF47" s="3531"/>
      <c r="AG47" s="3532">
        <f t="shared" si="25"/>
        <v>101.02</v>
      </c>
      <c r="AH47" s="3532">
        <f t="shared" si="25"/>
        <v>100.74000000000001</v>
      </c>
      <c r="AI47" s="3532">
        <f t="shared" si="25"/>
        <v>102.02</v>
      </c>
      <c r="AJ47" s="3547"/>
      <c r="AK47" s="3532">
        <f t="shared" si="26"/>
        <v>100.74000000000001</v>
      </c>
      <c r="AL47" s="3531"/>
      <c r="AM47" s="3531"/>
      <c r="AN47" s="3532">
        <f t="shared" si="29"/>
        <v>98.072052362157649</v>
      </c>
      <c r="AO47" s="3532">
        <f t="shared" si="27"/>
        <v>99.044715091119571</v>
      </c>
      <c r="AP47" s="3532">
        <f t="shared" si="27"/>
        <v>98.208202409677043</v>
      </c>
      <c r="AQ47" s="3532"/>
      <c r="AR47" s="3532">
        <f t="shared" si="27"/>
        <v>99.044715091119571</v>
      </c>
      <c r="AS47" s="3531"/>
    </row>
    <row r="48" spans="1:45" s="2042" customFormat="1" ht="13.2">
      <c r="A48" s="2902" t="s">
        <v>2834</v>
      </c>
      <c r="B48" s="2028">
        <v>2021</v>
      </c>
      <c r="C48" s="2039">
        <v>2</v>
      </c>
      <c r="D48" s="2004"/>
      <c r="E48" s="2004">
        <v>0.55000000000000004</v>
      </c>
      <c r="F48" s="2004">
        <v>0.46</v>
      </c>
      <c r="G48" s="2004">
        <v>1.1000000000000001</v>
      </c>
      <c r="H48" s="2914"/>
      <c r="I48" s="2005">
        <f t="shared" si="30"/>
        <v>0.46</v>
      </c>
      <c r="J48" s="2903"/>
      <c r="K48" s="2040"/>
      <c r="L48" s="2025">
        <f t="shared" si="31"/>
        <v>5.5000000000000005E-3</v>
      </c>
      <c r="M48" s="2025">
        <f t="shared" si="31"/>
        <v>4.5999999999999999E-3</v>
      </c>
      <c r="N48" s="2025">
        <f t="shared" si="31"/>
        <v>1.1000000000000001E-2</v>
      </c>
      <c r="O48" s="2025"/>
      <c r="P48" s="2025">
        <f t="shared" si="33"/>
        <v>4.5999999999999999E-3</v>
      </c>
      <c r="Q48" s="2903"/>
      <c r="R48" s="2024"/>
      <c r="S48" s="2024">
        <f>ROUND(IF(项目基本情况!$B$8="出让",SUMPRODUCT(PRODUCT(1+L48:L$49)),SUMPRODUCT(PRODUCT(1+L48:L$48))),4)</f>
        <v>1.0055000000000001</v>
      </c>
      <c r="T48" s="2024">
        <f>ROUND(IF(项目基本情况!$B$8="出让",SUMPRODUCT(PRODUCT(1+M48:M$49)),SUMPRODUCT(PRODUCT(1+M48:M$48))),4)</f>
        <v>1.0045999999999999</v>
      </c>
      <c r="U48" s="2024">
        <f>ROUND(IF(项目基本情况!$B$8="出让",SUMPRODUCT(PRODUCT(1+N48:N$49)),SUMPRODUCT(PRODUCT(1+N48:N$48))),4)</f>
        <v>1.0109999999999999</v>
      </c>
      <c r="V48" s="2024"/>
      <c r="W48" s="2024">
        <f t="shared" si="34"/>
        <v>1.0045999999999999</v>
      </c>
      <c r="X48" s="2903"/>
      <c r="Y48" s="2025"/>
      <c r="Z48" s="2899">
        <f t="shared" si="35"/>
        <v>4.4999999999999997E-3</v>
      </c>
      <c r="AA48" s="2900">
        <f t="shared" si="35"/>
        <v>4.7000000000000002E-3</v>
      </c>
      <c r="AB48" s="2025">
        <f t="shared" si="35"/>
        <v>1.04E-2</v>
      </c>
      <c r="AC48" s="2901"/>
      <c r="AD48" s="2025">
        <f t="shared" si="35"/>
        <v>4.7000000000000002E-3</v>
      </c>
      <c r="AE48" s="3531"/>
      <c r="AF48" s="3531"/>
      <c r="AG48" s="3532">
        <f t="shared" si="25"/>
        <v>100.55000000000001</v>
      </c>
      <c r="AH48" s="3532">
        <f t="shared" si="25"/>
        <v>100.46</v>
      </c>
      <c r="AI48" s="3532">
        <f t="shared" si="25"/>
        <v>101.1</v>
      </c>
      <c r="AJ48" s="3547"/>
      <c r="AK48" s="3532">
        <f t="shared" si="26"/>
        <v>100.46</v>
      </c>
      <c r="AL48" s="3531"/>
      <c r="AM48" s="3531"/>
      <c r="AN48" s="3532">
        <f t="shared" si="29"/>
        <v>97.613269993189661</v>
      </c>
      <c r="AO48" s="3532">
        <f t="shared" si="27"/>
        <v>98.768164231272024</v>
      </c>
      <c r="AP48" s="3532">
        <f t="shared" si="27"/>
        <v>97.322567049526342</v>
      </c>
      <c r="AQ48" s="3532"/>
      <c r="AR48" s="3532">
        <f t="shared" si="27"/>
        <v>98.768164231272024</v>
      </c>
      <c r="AS48" s="3531"/>
    </row>
    <row r="49" spans="1:45" s="2925" customFormat="1" ht="13.8" thickBot="1">
      <c r="A49" s="2915" t="s">
        <v>2820</v>
      </c>
      <c r="B49" s="2916">
        <v>2021</v>
      </c>
      <c r="C49" s="2917">
        <v>1</v>
      </c>
      <c r="D49" s="2918"/>
      <c r="E49" s="2918">
        <v>0.35</v>
      </c>
      <c r="F49" s="2918">
        <v>0.48</v>
      </c>
      <c r="G49" s="2918">
        <v>0.98</v>
      </c>
      <c r="H49" s="2919"/>
      <c r="I49" s="2920">
        <f t="shared" si="30"/>
        <v>0.48</v>
      </c>
      <c r="J49" s="2921"/>
      <c r="K49" s="2922"/>
      <c r="L49" s="2923">
        <f t="shared" si="31"/>
        <v>3.4999999999999996E-3</v>
      </c>
      <c r="M49" s="2923">
        <f>F49/100</f>
        <v>4.7999999999999996E-3</v>
      </c>
      <c r="N49" s="2923">
        <f t="shared" si="31"/>
        <v>9.7999999999999997E-3</v>
      </c>
      <c r="O49" s="2923"/>
      <c r="P49" s="2923">
        <f t="shared" si="33"/>
        <v>4.7999999999999996E-3</v>
      </c>
      <c r="Q49" s="2921"/>
      <c r="R49" s="2924"/>
      <c r="S49" s="2924">
        <v>1</v>
      </c>
      <c r="T49" s="2924">
        <v>1</v>
      </c>
      <c r="U49" s="2924">
        <v>1</v>
      </c>
      <c r="V49" s="2924"/>
      <c r="W49" s="2924">
        <f t="shared" si="34"/>
        <v>1</v>
      </c>
      <c r="X49" s="2921"/>
      <c r="Y49" s="2923"/>
      <c r="Z49" s="2931">
        <f t="shared" si="35"/>
        <v>3.5000000000000001E-3</v>
      </c>
      <c r="AA49" s="2932">
        <f t="shared" si="35"/>
        <v>4.7999999999999996E-3</v>
      </c>
      <c r="AB49" s="2923">
        <f t="shared" si="35"/>
        <v>9.7999999999999997E-3</v>
      </c>
      <c r="AC49" s="2933"/>
      <c r="AD49" s="2923">
        <f t="shared" si="35"/>
        <v>4.7999999999999996E-3</v>
      </c>
      <c r="AE49" s="3531"/>
      <c r="AF49" s="3531"/>
      <c r="AG49" s="3532">
        <f t="shared" si="25"/>
        <v>100</v>
      </c>
      <c r="AH49" s="3532">
        <f t="shared" si="25"/>
        <v>100</v>
      </c>
      <c r="AI49" s="3532">
        <f t="shared" si="25"/>
        <v>100</v>
      </c>
      <c r="AJ49" s="3547"/>
      <c r="AK49" s="3532">
        <f t="shared" si="26"/>
        <v>100</v>
      </c>
      <c r="AL49" s="3531"/>
      <c r="AM49" s="3531"/>
      <c r="AN49" s="3532">
        <f t="shared" si="29"/>
        <v>97.079333658070269</v>
      </c>
      <c r="AO49" s="3532">
        <f t="shared" si="27"/>
        <v>98.315911040485801</v>
      </c>
      <c r="AP49" s="3532">
        <f t="shared" si="27"/>
        <v>96.263666715654153</v>
      </c>
      <c r="AQ49" s="3532"/>
      <c r="AR49" s="3532">
        <f t="shared" si="27"/>
        <v>98.315911040485801</v>
      </c>
      <c r="AS49" s="3531"/>
    </row>
    <row r="50" spans="1:45" ht="15" thickTop="1">
      <c r="AE50" s="3531"/>
      <c r="AF50" s="3531"/>
      <c r="AG50" s="3532">
        <f t="shared" si="25"/>
        <v>0</v>
      </c>
      <c r="AH50" s="3532">
        <f t="shared" si="25"/>
        <v>0</v>
      </c>
      <c r="AI50" s="3532">
        <f t="shared" si="25"/>
        <v>0</v>
      </c>
      <c r="AJ50" s="3547"/>
      <c r="AK50" s="3532">
        <f t="shared" si="26"/>
        <v>0</v>
      </c>
      <c r="AL50" s="3531"/>
      <c r="AM50" s="3531"/>
      <c r="AN50" s="3532">
        <f t="shared" si="29"/>
        <v>96.740741064345059</v>
      </c>
      <c r="AO50" s="3532">
        <f t="shared" si="29"/>
        <v>97.84624904506947</v>
      </c>
      <c r="AP50" s="3532">
        <f t="shared" si="29"/>
        <v>95.3294382210875</v>
      </c>
      <c r="AQ50" s="3532"/>
      <c r="AR50" s="3532">
        <f t="shared" ref="AR50:AR52" si="36">AR49/(1+I49/100)</f>
        <v>97.84624904506947</v>
      </c>
      <c r="AS50" s="3531"/>
    </row>
    <row r="51" spans="1:45">
      <c r="A51" s="3140" t="s">
        <v>3377</v>
      </c>
      <c r="AE51" s="3531"/>
      <c r="AF51" s="3531"/>
      <c r="AG51" s="3532">
        <f>$AG$52*S51</f>
        <v>0</v>
      </c>
      <c r="AH51" s="3532">
        <f t="shared" ref="AH51:AK51" si="37">$AG$52*T51</f>
        <v>0</v>
      </c>
      <c r="AI51" s="3532">
        <f t="shared" si="37"/>
        <v>0</v>
      </c>
      <c r="AJ51" s="3547"/>
      <c r="AK51" s="3532">
        <f t="shared" si="37"/>
        <v>0</v>
      </c>
      <c r="AL51" s="3531"/>
      <c r="AM51" s="3531"/>
      <c r="AN51" s="3532">
        <f t="shared" ref="AN51:AP52" si="38">AN50/(1+E50/100)</f>
        <v>96.740741064345059</v>
      </c>
      <c r="AO51" s="3532">
        <f t="shared" si="38"/>
        <v>97.84624904506947</v>
      </c>
      <c r="AP51" s="3532">
        <f t="shared" si="38"/>
        <v>95.3294382210875</v>
      </c>
      <c r="AQ51" s="3532"/>
      <c r="AR51" s="3532">
        <f t="shared" si="36"/>
        <v>97.84624904506947</v>
      </c>
      <c r="AS51" s="3531"/>
    </row>
    <row r="52" spans="1:45" ht="15" thickBot="1">
      <c r="AE52" s="3544"/>
      <c r="AF52" s="3544"/>
      <c r="AG52" s="3550">
        <v>100</v>
      </c>
      <c r="AH52" s="3550">
        <v>100</v>
      </c>
      <c r="AI52" s="3550">
        <v>100</v>
      </c>
      <c r="AJ52" s="3550"/>
      <c r="AK52" s="3550">
        <v>100</v>
      </c>
      <c r="AL52" s="3544"/>
      <c r="AM52" s="3544"/>
      <c r="AN52" s="3546">
        <f t="shared" si="38"/>
        <v>96.740741064345059</v>
      </c>
      <c r="AO52" s="3546">
        <f t="shared" si="38"/>
        <v>97.84624904506947</v>
      </c>
      <c r="AP52" s="3546">
        <f t="shared" si="38"/>
        <v>95.3294382210875</v>
      </c>
      <c r="AQ52" s="3546"/>
      <c r="AR52" s="3546">
        <f t="shared" si="36"/>
        <v>97.84624904506947</v>
      </c>
      <c r="AS52" s="3544"/>
    </row>
    <row r="53" spans="1:45" ht="15" thickTop="1"/>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3358</v>
      </c>
      <c r="B5" s="2038">
        <f t="shared" ref="B5:B24" si="0">B6*(1+N5)</f>
        <v>510.07089659554606</v>
      </c>
      <c r="C5" s="2038">
        <f t="shared" ref="C5:C24" si="1">C6*(1+O5)</f>
        <v>352.55593185737411</v>
      </c>
      <c r="D5" s="2038">
        <f t="shared" ref="D5:D29" si="2">C5</f>
        <v>352.55593185737411</v>
      </c>
      <c r="E5" s="2038">
        <f t="shared" ref="E5:E24" si="3">E6*(1+P5)</f>
        <v>737.27992463403655</v>
      </c>
      <c r="F5" s="2038">
        <f t="shared" ref="F5:F24" si="4">F6*(1+Q5)</f>
        <v>335.88319198297864</v>
      </c>
      <c r="G5" s="2028">
        <v>2022</v>
      </c>
      <c r="H5" s="2039">
        <v>1</v>
      </c>
      <c r="I5" s="2004">
        <v>0</v>
      </c>
      <c r="J5" s="2004">
        <v>0</v>
      </c>
      <c r="K5" s="2004">
        <v>0</v>
      </c>
      <c r="L5" s="2005">
        <v>0</v>
      </c>
      <c r="M5" s="2024"/>
      <c r="N5" s="2040">
        <f t="shared" ref="N5:N16" si="5">I5/100</f>
        <v>0</v>
      </c>
      <c r="O5" s="2025">
        <f t="shared" ref="O5:O16" si="6">J5/100</f>
        <v>0</v>
      </c>
      <c r="P5" s="2025">
        <f t="shared" ref="P5:P16" si="7">K5/100</f>
        <v>0</v>
      </c>
      <c r="Q5" s="2025">
        <f t="shared" ref="Q5:Q16" si="8">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Z39" si="9">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AF40" si="10">AE5</f>
        <v>9.7000000000000003E-3</v>
      </c>
      <c r="AG5" s="2025">
        <f>ROUND(AVERAGE(K5:K$40)/100,4)</f>
        <v>1.66E-2</v>
      </c>
      <c r="AH5" s="2025">
        <f>ROUND(AVERAGE(L5:L$40)/100,4)</f>
        <v>1.0999999999999999E-2</v>
      </c>
    </row>
    <row r="6" spans="1:34" s="2031" customFormat="1">
      <c r="A6" s="2026" t="s">
        <v>3355</v>
      </c>
      <c r="B6" s="2027">
        <f t="shared" si="0"/>
        <v>510.07089659554606</v>
      </c>
      <c r="C6" s="2027">
        <f t="shared" si="1"/>
        <v>352.55593185737411</v>
      </c>
      <c r="D6" s="2027">
        <f t="shared" si="2"/>
        <v>352.55593185737411</v>
      </c>
      <c r="E6" s="2027">
        <f t="shared" si="3"/>
        <v>737.27992463403655</v>
      </c>
      <c r="F6" s="2027">
        <f t="shared" si="4"/>
        <v>335.88319198297864</v>
      </c>
      <c r="G6" s="2028">
        <v>2022</v>
      </c>
      <c r="H6" s="2029">
        <v>1</v>
      </c>
      <c r="I6" s="2030">
        <v>0</v>
      </c>
      <c r="J6" s="2030">
        <v>0</v>
      </c>
      <c r="K6" s="2030">
        <v>0</v>
      </c>
      <c r="L6" s="2030">
        <v>0</v>
      </c>
      <c r="N6" s="2032">
        <f t="shared" si="5"/>
        <v>0</v>
      </c>
      <c r="O6" s="2032">
        <f t="shared" si="6"/>
        <v>0</v>
      </c>
      <c r="P6" s="2032">
        <f t="shared" si="7"/>
        <v>0</v>
      </c>
      <c r="Q6" s="2032">
        <f t="shared" si="8"/>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si="9"/>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si="10"/>
        <v>0.01</v>
      </c>
      <c r="AG6" s="2036">
        <f>ROUND(AVERAGE(K6:K$40)/100,4)</f>
        <v>1.7100000000000001E-2</v>
      </c>
      <c r="AH6" s="2036">
        <f>ROUND(AVERAGE(L6:L$40)/100,4)</f>
        <v>1.1299999999999999E-2</v>
      </c>
    </row>
    <row r="7" spans="1:34" s="2042" customFormat="1">
      <c r="A7" s="2037" t="s">
        <v>3356</v>
      </c>
      <c r="B7" s="2038">
        <f t="shared" si="0"/>
        <v>510.07089659554606</v>
      </c>
      <c r="C7" s="2038">
        <f t="shared" si="1"/>
        <v>352.55593185737411</v>
      </c>
      <c r="D7" s="2038">
        <f t="shared" si="2"/>
        <v>352.55593185737411</v>
      </c>
      <c r="E7" s="2038">
        <f t="shared" si="3"/>
        <v>737.27992463403655</v>
      </c>
      <c r="F7" s="2038">
        <f t="shared" si="4"/>
        <v>335.88319198297864</v>
      </c>
      <c r="G7" s="2028">
        <v>2022</v>
      </c>
      <c r="H7" s="2039">
        <v>1</v>
      </c>
      <c r="I7" s="2004">
        <v>0</v>
      </c>
      <c r="J7" s="2004">
        <v>0</v>
      </c>
      <c r="K7" s="2004">
        <v>0</v>
      </c>
      <c r="L7" s="2005">
        <v>0</v>
      </c>
      <c r="M7" s="2024"/>
      <c r="N7" s="2040">
        <f t="shared" si="5"/>
        <v>0</v>
      </c>
      <c r="O7" s="2025">
        <f t="shared" si="6"/>
        <v>0</v>
      </c>
      <c r="P7" s="2025">
        <f t="shared" si="7"/>
        <v>0</v>
      </c>
      <c r="Q7" s="2025">
        <f t="shared" si="8"/>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si="9"/>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si="10"/>
        <v>1.03E-2</v>
      </c>
      <c r="AG7" s="2025">
        <f>ROUND(AVERAGE(K7:K$40)/100,4)</f>
        <v>1.7600000000000001E-2</v>
      </c>
      <c r="AH7" s="2025">
        <f>ROUND(AVERAGE(L7:L$40)/100,4)</f>
        <v>1.1599999999999999E-2</v>
      </c>
    </row>
    <row r="8" spans="1:34" s="2042" customFormat="1">
      <c r="A8" s="2037" t="s">
        <v>3357</v>
      </c>
      <c r="B8" s="2038">
        <f t="shared" si="0"/>
        <v>510.07089659554606</v>
      </c>
      <c r="C8" s="2038">
        <f t="shared" si="1"/>
        <v>352.55593185737411</v>
      </c>
      <c r="D8" s="2038">
        <f t="shared" si="2"/>
        <v>352.55593185737411</v>
      </c>
      <c r="E8" s="2038">
        <f t="shared" si="3"/>
        <v>737.27992463403655</v>
      </c>
      <c r="F8" s="2038">
        <f t="shared" si="4"/>
        <v>335.88319198297864</v>
      </c>
      <c r="G8" s="2028">
        <v>2022</v>
      </c>
      <c r="H8" s="2039">
        <v>1</v>
      </c>
      <c r="I8" s="2004"/>
      <c r="J8" s="2004"/>
      <c r="K8" s="2004">
        <v>0</v>
      </c>
      <c r="L8" s="2005">
        <v>0</v>
      </c>
      <c r="M8" s="2024"/>
      <c r="N8" s="2040">
        <f t="shared" si="5"/>
        <v>0</v>
      </c>
      <c r="O8" s="2025">
        <f t="shared" si="6"/>
        <v>0</v>
      </c>
      <c r="P8" s="2025">
        <f t="shared" si="7"/>
        <v>0</v>
      </c>
      <c r="Q8" s="2025">
        <f t="shared" si="8"/>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si="9"/>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si="10"/>
        <v>1.06E-2</v>
      </c>
      <c r="AG8" s="2025">
        <f>ROUND(AVERAGE(K8:K$40)/100,4)</f>
        <v>1.8100000000000002E-2</v>
      </c>
      <c r="AH8" s="2025">
        <f>ROUND(AVERAGE(L8:L$40)/100,4)</f>
        <v>1.2E-2</v>
      </c>
    </row>
    <row r="9" spans="1:34" s="2042" customFormat="1">
      <c r="A9" s="2037" t="s">
        <v>2432</v>
      </c>
      <c r="B9" s="2038">
        <f t="shared" si="0"/>
        <v>510.07089659554606</v>
      </c>
      <c r="C9" s="2038">
        <f t="shared" si="1"/>
        <v>352.55593185737411</v>
      </c>
      <c r="D9" s="2038">
        <f t="shared" si="2"/>
        <v>352.55593185737411</v>
      </c>
      <c r="E9" s="2038">
        <f t="shared" si="3"/>
        <v>737.27992463403655</v>
      </c>
      <c r="F9" s="2038">
        <f t="shared" si="4"/>
        <v>335.88319198297864</v>
      </c>
      <c r="G9" s="2028">
        <v>2021</v>
      </c>
      <c r="H9" s="2039">
        <v>4</v>
      </c>
      <c r="I9" s="2004">
        <v>1.03</v>
      </c>
      <c r="J9" s="2004">
        <v>0.24</v>
      </c>
      <c r="K9" s="2004">
        <v>1.17</v>
      </c>
      <c r="L9" s="2005">
        <v>0.55000000000000004</v>
      </c>
      <c r="M9" s="2024"/>
      <c r="N9" s="2040">
        <f t="shared" si="5"/>
        <v>1.03E-2</v>
      </c>
      <c r="O9" s="2025">
        <f t="shared" si="6"/>
        <v>2.3999999999999998E-3</v>
      </c>
      <c r="P9" s="2025">
        <f t="shared" si="7"/>
        <v>1.1699999999999999E-2</v>
      </c>
      <c r="Q9" s="2025">
        <f t="shared" si="8"/>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si="9"/>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si="10"/>
        <v>1.06E-2</v>
      </c>
      <c r="AG9" s="2025">
        <f>ROUND(AVERAGE(K9:K$40)/100,4)</f>
        <v>1.8700000000000001E-2</v>
      </c>
      <c r="AH9" s="2025">
        <f>ROUND(AVERAGE(L9:L$40)/100,4)</f>
        <v>1.24E-2</v>
      </c>
    </row>
    <row r="10" spans="1:34" s="2042" customFormat="1">
      <c r="A10" s="2037" t="s">
        <v>2309</v>
      </c>
      <c r="B10" s="2038">
        <f t="shared" si="0"/>
        <v>504.87072809615569</v>
      </c>
      <c r="C10" s="2038">
        <f t="shared" si="1"/>
        <v>351.71182348101968</v>
      </c>
      <c r="D10" s="2038">
        <f t="shared" si="2"/>
        <v>351.71182348101968</v>
      </c>
      <c r="E10" s="2038">
        <f t="shared" si="3"/>
        <v>728.75350858360832</v>
      </c>
      <c r="F10" s="2038">
        <f t="shared" si="4"/>
        <v>334.04593931673656</v>
      </c>
      <c r="G10" s="2028">
        <v>2021</v>
      </c>
      <c r="H10" s="2039">
        <v>3</v>
      </c>
      <c r="I10" s="2004">
        <v>0.47</v>
      </c>
      <c r="J10" s="2004">
        <v>0.41</v>
      </c>
      <c r="K10" s="2004">
        <v>0.48</v>
      </c>
      <c r="L10" s="2005">
        <v>0.48</v>
      </c>
      <c r="M10" s="2024"/>
      <c r="N10" s="2040">
        <f t="shared" si="5"/>
        <v>4.6999999999999993E-3</v>
      </c>
      <c r="O10" s="2025">
        <f t="shared" si="6"/>
        <v>4.0999999999999995E-3</v>
      </c>
      <c r="P10" s="2025">
        <f t="shared" si="7"/>
        <v>4.7999999999999996E-3</v>
      </c>
      <c r="Q10" s="2025">
        <f t="shared" si="8"/>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si="9"/>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si="10"/>
        <v>1.09E-2</v>
      </c>
      <c r="AG10" s="2025">
        <f>ROUND(AVERAGE(K10:K$40)/100,4)</f>
        <v>1.89E-2</v>
      </c>
      <c r="AH10" s="2025">
        <f>ROUND(AVERAGE(L10:L$40)/100,4)</f>
        <v>1.26E-2</v>
      </c>
    </row>
    <row r="11" spans="1:34" s="2042" customFormat="1">
      <c r="A11" s="2037" t="s">
        <v>2308</v>
      </c>
      <c r="B11" s="2038">
        <f t="shared" si="0"/>
        <v>502.50893609650217</v>
      </c>
      <c r="C11" s="2038">
        <f t="shared" si="1"/>
        <v>350.27569313914915</v>
      </c>
      <c r="D11" s="2038">
        <f t="shared" si="2"/>
        <v>350.27569313914915</v>
      </c>
      <c r="E11" s="2038">
        <f t="shared" si="3"/>
        <v>725.27220201394141</v>
      </c>
      <c r="F11" s="2038">
        <f t="shared" si="4"/>
        <v>332.45017846012797</v>
      </c>
      <c r="G11" s="2028">
        <v>2021</v>
      </c>
      <c r="H11" s="2039">
        <v>2</v>
      </c>
      <c r="I11" s="2004">
        <v>0.92</v>
      </c>
      <c r="J11" s="2004">
        <v>0.72</v>
      </c>
      <c r="K11" s="2004">
        <v>0.95</v>
      </c>
      <c r="L11" s="2005">
        <v>1.01</v>
      </c>
      <c r="M11" s="2024"/>
      <c r="N11" s="2040">
        <f t="shared" si="5"/>
        <v>9.1999999999999998E-3</v>
      </c>
      <c r="O11" s="2025">
        <f t="shared" si="6"/>
        <v>7.1999999999999998E-3</v>
      </c>
      <c r="P11" s="2025">
        <f t="shared" si="7"/>
        <v>9.4999999999999998E-3</v>
      </c>
      <c r="Q11" s="2025">
        <f t="shared" si="8"/>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si="9"/>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si="10"/>
        <v>1.11E-2</v>
      </c>
      <c r="AG11" s="2025">
        <f>ROUND(AVERAGE(K11:K$40)/100,4)</f>
        <v>1.9400000000000001E-2</v>
      </c>
      <c r="AH11" s="2025">
        <f>ROUND(AVERAGE(L11:L$40)/100,4)</f>
        <v>1.2800000000000001E-2</v>
      </c>
    </row>
    <row r="12" spans="1:34" s="2042" customFormat="1">
      <c r="A12" s="2037" t="s">
        <v>2307</v>
      </c>
      <c r="B12" s="2038">
        <f t="shared" si="0"/>
        <v>497.92799851020823</v>
      </c>
      <c r="C12" s="2038">
        <f t="shared" si="1"/>
        <v>347.77173663537445</v>
      </c>
      <c r="D12" s="2038">
        <f t="shared" si="2"/>
        <v>347.77173663537445</v>
      </c>
      <c r="E12" s="2038">
        <f t="shared" si="3"/>
        <v>718.44695593258189</v>
      </c>
      <c r="F12" s="2038">
        <f t="shared" si="4"/>
        <v>329.12600580153247</v>
      </c>
      <c r="G12" s="2028">
        <v>2021</v>
      </c>
      <c r="H12" s="2039">
        <v>1</v>
      </c>
      <c r="I12" s="2004">
        <v>0.97</v>
      </c>
      <c r="J12" s="2004">
        <v>0.16</v>
      </c>
      <c r="K12" s="2004">
        <v>1.1100000000000001</v>
      </c>
      <c r="L12" s="2005">
        <v>0.36</v>
      </c>
      <c r="M12" s="2024"/>
      <c r="N12" s="2040">
        <f t="shared" si="5"/>
        <v>9.7000000000000003E-3</v>
      </c>
      <c r="O12" s="2025">
        <f t="shared" si="6"/>
        <v>1.6000000000000001E-3</v>
      </c>
      <c r="P12" s="2025">
        <f t="shared" si="7"/>
        <v>1.11E-2</v>
      </c>
      <c r="Q12" s="2025">
        <f t="shared" si="8"/>
        <v>3.5999999999999999E-3</v>
      </c>
      <c r="R12" s="2041"/>
      <c r="S12" s="2040">
        <f>B12/B13-1</f>
        <v>9.7000000000000419E-3</v>
      </c>
      <c r="T12" s="2025">
        <f>C12/C13-1</f>
        <v>1.6000000000000458E-3</v>
      </c>
      <c r="U12" s="2025">
        <f>D12/D13-1</f>
        <v>1.6000000000000458E-3</v>
      </c>
      <c r="V12" s="2025">
        <f>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si="9"/>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si="10"/>
        <v>1.12E-2</v>
      </c>
      <c r="AG12" s="2025">
        <f>ROUND(AVERAGE(K12:K$40)/100,4)</f>
        <v>1.9699999999999999E-2</v>
      </c>
      <c r="AH12" s="2025">
        <f>ROUND(AVERAGE(L12:L$40)/100,4)</f>
        <v>1.29E-2</v>
      </c>
    </row>
    <row r="13" spans="1:34" s="2042" customFormat="1">
      <c r="A13" s="2037" t="s">
        <v>2304</v>
      </c>
      <c r="B13" s="2038">
        <f t="shared" si="0"/>
        <v>493.14449689037161</v>
      </c>
      <c r="C13" s="2038">
        <f t="shared" si="1"/>
        <v>347.21619073020611</v>
      </c>
      <c r="D13" s="2038">
        <f t="shared" si="2"/>
        <v>347.21619073020611</v>
      </c>
      <c r="E13" s="2038">
        <f t="shared" si="3"/>
        <v>710.55974278763904</v>
      </c>
      <c r="F13" s="2038">
        <f t="shared" si="4"/>
        <v>327.94540235306141</v>
      </c>
      <c r="G13" s="2028">
        <v>2020</v>
      </c>
      <c r="H13" s="2039">
        <v>4</v>
      </c>
      <c r="I13" s="2004">
        <v>2.0699999999999998</v>
      </c>
      <c r="J13" s="2004">
        <v>0.37</v>
      </c>
      <c r="K13" s="2004">
        <v>2.35</v>
      </c>
      <c r="L13" s="2005">
        <v>2.69</v>
      </c>
      <c r="M13" s="2024"/>
      <c r="N13" s="2040">
        <f t="shared" si="5"/>
        <v>2.07E-2</v>
      </c>
      <c r="O13" s="2025">
        <f t="shared" si="6"/>
        <v>3.7000000000000002E-3</v>
      </c>
      <c r="P13" s="2025">
        <f t="shared" si="7"/>
        <v>2.35E-2</v>
      </c>
      <c r="Q13" s="2025">
        <f t="shared" si="8"/>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si="9"/>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si="10"/>
        <v>1.1599999999999999E-2</v>
      </c>
      <c r="AG13" s="2025">
        <f>ROUND(AVERAGE(K13:K$40)/100,4)</f>
        <v>0.02</v>
      </c>
      <c r="AH13" s="2025">
        <f>ROUND(AVERAGE(L13:L$40)/100,4)</f>
        <v>1.3299999999999999E-2</v>
      </c>
    </row>
    <row r="14" spans="1:34" s="2042" customFormat="1">
      <c r="A14" s="2037" t="s">
        <v>2303</v>
      </c>
      <c r="B14" s="2038">
        <f t="shared" si="0"/>
        <v>483.1434279321756</v>
      </c>
      <c r="C14" s="2038">
        <f t="shared" si="1"/>
        <v>345.93622669144776</v>
      </c>
      <c r="D14" s="2038">
        <f t="shared" si="2"/>
        <v>345.93622669144776</v>
      </c>
      <c r="E14" s="2038">
        <f t="shared" si="3"/>
        <v>694.24498562544113</v>
      </c>
      <c r="F14" s="2038">
        <f t="shared" si="4"/>
        <v>319.35475932716082</v>
      </c>
      <c r="G14" s="2028">
        <v>2020</v>
      </c>
      <c r="H14" s="2039">
        <v>3</v>
      </c>
      <c r="I14" s="2004">
        <v>0.36</v>
      </c>
      <c r="J14" s="2004">
        <v>-0.39</v>
      </c>
      <c r="K14" s="2004">
        <v>0.49</v>
      </c>
      <c r="L14" s="2005">
        <v>7.0000000000000007E-2</v>
      </c>
      <c r="M14" s="2024"/>
      <c r="N14" s="2040">
        <f t="shared" si="5"/>
        <v>3.5999999999999999E-3</v>
      </c>
      <c r="O14" s="2025">
        <f t="shared" si="6"/>
        <v>-3.9000000000000003E-3</v>
      </c>
      <c r="P14" s="2025">
        <f t="shared" si="7"/>
        <v>4.8999999999999998E-3</v>
      </c>
      <c r="Q14" s="2025">
        <f t="shared" si="8"/>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si="9"/>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si="10"/>
        <v>1.1900000000000001E-2</v>
      </c>
      <c r="AG14" s="2025">
        <f>ROUND(AVERAGE(K14:K$40)/100,4)</f>
        <v>1.9900000000000001E-2</v>
      </c>
      <c r="AH14" s="2025">
        <f>ROUND(AVERAGE(L14:L$40)/100,4)</f>
        <v>1.2800000000000001E-2</v>
      </c>
    </row>
    <row r="15" spans="1:34" s="2042" customFormat="1">
      <c r="A15" s="2037" t="s">
        <v>2130</v>
      </c>
      <c r="B15" s="2038">
        <f t="shared" si="0"/>
        <v>481.4103506697644</v>
      </c>
      <c r="C15" s="2038">
        <f t="shared" si="1"/>
        <v>347.29066026648707</v>
      </c>
      <c r="D15" s="2038">
        <f t="shared" si="2"/>
        <v>347.29066026648707</v>
      </c>
      <c r="E15" s="2038">
        <f t="shared" si="3"/>
        <v>690.85977273901995</v>
      </c>
      <c r="F15" s="2038">
        <f t="shared" si="4"/>
        <v>319.13136737000184</v>
      </c>
      <c r="G15" s="2028">
        <v>2020</v>
      </c>
      <c r="H15" s="2039">
        <v>2</v>
      </c>
      <c r="I15" s="2004">
        <v>0.31</v>
      </c>
      <c r="J15" s="2004">
        <v>-0.78</v>
      </c>
      <c r="K15" s="2004">
        <v>0.5</v>
      </c>
      <c r="L15" s="2005">
        <v>0.47</v>
      </c>
      <c r="M15" s="2024"/>
      <c r="N15" s="2040">
        <f t="shared" si="5"/>
        <v>3.0999999999999999E-3</v>
      </c>
      <c r="O15" s="2025">
        <f t="shared" si="6"/>
        <v>-7.8000000000000005E-3</v>
      </c>
      <c r="P15" s="2025">
        <f t="shared" si="7"/>
        <v>5.0000000000000001E-3</v>
      </c>
      <c r="Q15" s="2025">
        <f t="shared" si="8"/>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si="9"/>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si="10"/>
        <v>1.2500000000000001E-2</v>
      </c>
      <c r="AG15" s="2025">
        <f>ROUND(AVERAGE(K15:K$40)/100,4)</f>
        <v>2.0400000000000001E-2</v>
      </c>
      <c r="AH15" s="2025">
        <f>ROUND(AVERAGE(L15:L$40)/100,4)</f>
        <v>1.32E-2</v>
      </c>
    </row>
    <row r="16" spans="1:34" s="2042" customFormat="1">
      <c r="A16" s="2037" t="s">
        <v>2128</v>
      </c>
      <c r="B16" s="2038">
        <f t="shared" si="0"/>
        <v>479.92259063878413</v>
      </c>
      <c r="C16" s="2038">
        <f t="shared" si="1"/>
        <v>350.02082268341775</v>
      </c>
      <c r="D16" s="2038">
        <f t="shared" si="2"/>
        <v>350.02082268341775</v>
      </c>
      <c r="E16" s="2038">
        <f t="shared" si="3"/>
        <v>687.42265944181099</v>
      </c>
      <c r="F16" s="2038">
        <f t="shared" si="4"/>
        <v>317.63846657708956</v>
      </c>
      <c r="G16" s="2028">
        <v>2020</v>
      </c>
      <c r="H16" s="2039">
        <v>1</v>
      </c>
      <c r="I16" s="2004">
        <v>0.12</v>
      </c>
      <c r="J16" s="2004">
        <v>-0.4</v>
      </c>
      <c r="K16" s="2004">
        <v>0.21</v>
      </c>
      <c r="L16" s="2005">
        <v>0.27</v>
      </c>
      <c r="M16" s="2024"/>
      <c r="N16" s="2040">
        <f t="shared" si="5"/>
        <v>1.1999999999999999E-3</v>
      </c>
      <c r="O16" s="2025">
        <f t="shared" si="6"/>
        <v>-4.0000000000000001E-3</v>
      </c>
      <c r="P16" s="2025">
        <f t="shared" si="7"/>
        <v>2.0999999999999999E-3</v>
      </c>
      <c r="Q16" s="2025">
        <f t="shared" si="8"/>
        <v>2.7000000000000001E-3</v>
      </c>
      <c r="R16" s="2041"/>
      <c r="S16" s="2040">
        <f>B16/B17-1</f>
        <v>1.2000000000000899E-3</v>
      </c>
      <c r="T16" s="2025">
        <f>C16/C17-1</f>
        <v>-4.0000000000000036E-3</v>
      </c>
      <c r="U16" s="2025">
        <f>D16/D17-1</f>
        <v>-4.0000000000000036E-3</v>
      </c>
      <c r="V16" s="2025">
        <f>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si="9"/>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si="10"/>
        <v>1.3299999999999999E-2</v>
      </c>
      <c r="AG16" s="2025">
        <f>ROUND(AVERAGE(K16:K$40)/100,4)</f>
        <v>2.1100000000000001E-2</v>
      </c>
      <c r="AH16" s="2025">
        <f>ROUND(AVERAGE(L16:L$40)/100,4)</f>
        <v>1.3599999999999999E-2</v>
      </c>
    </row>
    <row r="17" spans="1:34" s="2042" customFormat="1">
      <c r="A17" s="2037" t="s">
        <v>2127</v>
      </c>
      <c r="B17" s="2038">
        <f t="shared" si="0"/>
        <v>479.34737379023579</v>
      </c>
      <c r="C17" s="2038">
        <f t="shared" si="1"/>
        <v>351.4265287986122</v>
      </c>
      <c r="D17" s="2038">
        <f t="shared" si="2"/>
        <v>351.4265287986122</v>
      </c>
      <c r="E17" s="2038">
        <f t="shared" si="3"/>
        <v>685.98209703803116</v>
      </c>
      <c r="F17" s="2038">
        <f t="shared" si="4"/>
        <v>316.78315206651001</v>
      </c>
      <c r="G17" s="2028">
        <v>2019</v>
      </c>
      <c r="H17" s="2039">
        <v>4</v>
      </c>
      <c r="I17" s="2039">
        <v>0.45</v>
      </c>
      <c r="J17" s="2039">
        <v>-0.12</v>
      </c>
      <c r="K17" s="2039">
        <v>0.54</v>
      </c>
      <c r="L17" s="2043">
        <v>0.48</v>
      </c>
      <c r="M17" s="2024"/>
      <c r="N17" s="2040">
        <f t="shared" ref="N17:N22" si="11">I17/100</f>
        <v>4.5000000000000005E-3</v>
      </c>
      <c r="O17" s="2025">
        <f t="shared" ref="O17:O27" si="12">J17/100</f>
        <v>-1.1999999999999999E-3</v>
      </c>
      <c r="P17" s="2025">
        <f t="shared" ref="P17:P27" si="13">K17/100</f>
        <v>5.4000000000000003E-3</v>
      </c>
      <c r="Q17" s="2025">
        <f t="shared" ref="Q17:Q27" si="14">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si="9"/>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si="10"/>
        <v>1.4E-2</v>
      </c>
      <c r="AG17" s="2025">
        <f>ROUND(AVERAGE(K17:K$40)/100,4)</f>
        <v>2.1899999999999999E-2</v>
      </c>
      <c r="AH17" s="2025">
        <f>ROUND(AVERAGE(L17:L$40)/100,4)</f>
        <v>1.4E-2</v>
      </c>
    </row>
    <row r="18" spans="1:34" s="2042" customFormat="1" ht="13.8" thickBot="1">
      <c r="A18" s="2037" t="s">
        <v>2126</v>
      </c>
      <c r="B18" s="2038">
        <f t="shared" si="0"/>
        <v>477.19997390765138</v>
      </c>
      <c r="C18" s="2038">
        <f t="shared" si="1"/>
        <v>351.84874729536665</v>
      </c>
      <c r="D18" s="2038">
        <f t="shared" si="2"/>
        <v>351.84874729536665</v>
      </c>
      <c r="E18" s="2038">
        <f t="shared" si="3"/>
        <v>682.29768951465201</v>
      </c>
      <c r="F18" s="2038">
        <f t="shared" si="4"/>
        <v>315.26985675409043</v>
      </c>
      <c r="G18" s="2028">
        <v>2019</v>
      </c>
      <c r="H18" s="2039">
        <v>3</v>
      </c>
      <c r="I18" s="2039">
        <v>0.61</v>
      </c>
      <c r="J18" s="2039">
        <v>0.67</v>
      </c>
      <c r="K18" s="2039">
        <v>0.6</v>
      </c>
      <c r="L18" s="2043">
        <v>1.03</v>
      </c>
      <c r="M18" s="2024"/>
      <c r="N18" s="2040">
        <f t="shared" si="11"/>
        <v>6.0999999999999995E-3</v>
      </c>
      <c r="O18" s="2025">
        <f t="shared" si="12"/>
        <v>6.7000000000000002E-3</v>
      </c>
      <c r="P18" s="2025">
        <f t="shared" si="13"/>
        <v>6.0000000000000001E-3</v>
      </c>
      <c r="Q18" s="2025">
        <f t="shared" si="14"/>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si="9"/>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si="10"/>
        <v>1.47E-2</v>
      </c>
      <c r="AG18" s="2025">
        <f>ROUND(AVERAGE(K18:K$40)/100,4)</f>
        <v>2.2599999999999999E-2</v>
      </c>
      <c r="AH18" s="2025">
        <f>ROUND(AVERAGE(L18:L$40)/100,4)</f>
        <v>1.44E-2</v>
      </c>
    </row>
    <row r="19" spans="1:34" s="2042" customFormat="1">
      <c r="A19" s="2037" t="s">
        <v>2124</v>
      </c>
      <c r="B19" s="2038">
        <f t="shared" si="0"/>
        <v>474.30670301923408</v>
      </c>
      <c r="C19" s="2038">
        <f t="shared" si="1"/>
        <v>349.50705005996491</v>
      </c>
      <c r="D19" s="2038">
        <f t="shared" si="2"/>
        <v>349.50705005996491</v>
      </c>
      <c r="E19" s="2038">
        <f t="shared" si="3"/>
        <v>678.22831959706957</v>
      </c>
      <c r="F19" s="2038">
        <f t="shared" si="4"/>
        <v>312.0556832169558</v>
      </c>
      <c r="G19" s="2028">
        <v>2019</v>
      </c>
      <c r="H19" s="2044">
        <v>2</v>
      </c>
      <c r="I19" s="2044">
        <v>1.53</v>
      </c>
      <c r="J19" s="2044">
        <v>1.01</v>
      </c>
      <c r="K19" s="2044">
        <v>1.62</v>
      </c>
      <c r="L19" s="2045">
        <v>1.25</v>
      </c>
      <c r="M19" s="2024"/>
      <c r="N19" s="2040">
        <f t="shared" si="11"/>
        <v>1.5300000000000001E-2</v>
      </c>
      <c r="O19" s="2025">
        <f t="shared" si="12"/>
        <v>1.01E-2</v>
      </c>
      <c r="P19" s="2025">
        <f t="shared" si="13"/>
        <v>1.6200000000000003E-2</v>
      </c>
      <c r="Q19" s="2025">
        <f t="shared" si="14"/>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si="9"/>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si="10"/>
        <v>1.4999999999999999E-2</v>
      </c>
      <c r="AG19" s="2025">
        <f>ROUND(AVERAGE(K19:K$40)/100,4)</f>
        <v>2.3300000000000001E-2</v>
      </c>
      <c r="AH19" s="2025">
        <f>ROUND(AVERAGE(L19:L$40)/100,4)</f>
        <v>1.46E-2</v>
      </c>
    </row>
    <row r="20" spans="1:34" s="2042" customFormat="1" ht="13.8" thickBot="1">
      <c r="A20" s="2037" t="s">
        <v>2123</v>
      </c>
      <c r="B20" s="2038">
        <f t="shared" si="0"/>
        <v>467.15916775261894</v>
      </c>
      <c r="C20" s="2038">
        <f t="shared" si="1"/>
        <v>346.01232557169084</v>
      </c>
      <c r="D20" s="2038">
        <f t="shared" si="2"/>
        <v>346.01232557169084</v>
      </c>
      <c r="E20" s="2038">
        <f t="shared" si="3"/>
        <v>667.41617752122568</v>
      </c>
      <c r="F20" s="2038">
        <f t="shared" si="4"/>
        <v>308.20314391798104</v>
      </c>
      <c r="G20" s="2028">
        <v>2019</v>
      </c>
      <c r="H20" s="2039">
        <v>1</v>
      </c>
      <c r="I20" s="2039">
        <v>0.6</v>
      </c>
      <c r="J20" s="2039">
        <v>0.37</v>
      </c>
      <c r="K20" s="2039">
        <v>0.63</v>
      </c>
      <c r="L20" s="2043">
        <v>1.1299999999999999</v>
      </c>
      <c r="M20" s="2024"/>
      <c r="N20" s="2040">
        <f t="shared" si="11"/>
        <v>6.0000000000000001E-3</v>
      </c>
      <c r="O20" s="2025">
        <f t="shared" si="12"/>
        <v>3.7000000000000002E-3</v>
      </c>
      <c r="P20" s="2025">
        <f t="shared" si="13"/>
        <v>6.3E-3</v>
      </c>
      <c r="Q20" s="2025">
        <f t="shared" si="14"/>
        <v>1.1299999999999999E-2</v>
      </c>
      <c r="R20" s="2041"/>
      <c r="S20" s="2040">
        <f>B20/B21-1</f>
        <v>6.0000000000000053E-3</v>
      </c>
      <c r="T20" s="2025">
        <f>C20/C21-1</f>
        <v>3.7000000000000366E-3</v>
      </c>
      <c r="U20" s="2025">
        <f>D20/D21-1</f>
        <v>3.7000000000000366E-3</v>
      </c>
      <c r="V20" s="2025">
        <f>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si="9"/>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si="10"/>
        <v>1.5299999999999999E-2</v>
      </c>
      <c r="AG20" s="2025">
        <f>ROUND(AVERAGE(K20:K$40)/100,4)</f>
        <v>2.3699999999999999E-2</v>
      </c>
      <c r="AH20" s="2025">
        <f>ROUND(AVERAGE(L20:L$40)/100,4)</f>
        <v>1.47E-2</v>
      </c>
    </row>
    <row r="21" spans="1:34" s="2042" customFormat="1">
      <c r="A21" s="2037" t="s">
        <v>2125</v>
      </c>
      <c r="B21" s="2046">
        <f t="shared" si="0"/>
        <v>464.37293017158942</v>
      </c>
      <c r="C21" s="2046">
        <f t="shared" si="1"/>
        <v>344.73679941385956</v>
      </c>
      <c r="D21" s="2046">
        <f t="shared" si="2"/>
        <v>344.73679941385956</v>
      </c>
      <c r="E21" s="2046">
        <f t="shared" si="3"/>
        <v>663.2377795103107</v>
      </c>
      <c r="F21" s="2047">
        <f t="shared" si="4"/>
        <v>304.75936311478398</v>
      </c>
      <c r="G21" s="3517">
        <v>2018</v>
      </c>
      <c r="H21" s="2044">
        <v>4</v>
      </c>
      <c r="I21" s="2044">
        <v>0.96</v>
      </c>
      <c r="J21" s="2044">
        <v>1.03</v>
      </c>
      <c r="K21" s="2044">
        <v>0.92</v>
      </c>
      <c r="L21" s="2045">
        <v>1.29</v>
      </c>
      <c r="M21" s="2024"/>
      <c r="N21" s="2040">
        <f t="shared" si="11"/>
        <v>9.5999999999999992E-3</v>
      </c>
      <c r="O21" s="2025">
        <f t="shared" si="12"/>
        <v>1.03E-2</v>
      </c>
      <c r="P21" s="2025">
        <f t="shared" si="13"/>
        <v>9.1999999999999998E-3</v>
      </c>
      <c r="Q21" s="2025">
        <f t="shared" si="14"/>
        <v>1.29E-2</v>
      </c>
      <c r="R21" s="2041"/>
      <c r="S21" s="2040"/>
      <c r="T21" s="2025"/>
      <c r="U21" s="2025"/>
      <c r="V21" s="2025"/>
      <c r="W21" s="2024"/>
      <c r="X21" s="2024">
        <f>ROUND(SUMPRODUCT(PRODUCT(1+N21:N$39)),4)</f>
        <v>1.5099</v>
      </c>
      <c r="Y21" s="2024">
        <f>ROUND(SUMPRODUCT(PRODUCT(1+O21:O$39)),4)</f>
        <v>1.3372999999999999</v>
      </c>
      <c r="Z21" s="2024">
        <f t="shared" si="9"/>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si="10"/>
        <v>1.5800000000000002E-2</v>
      </c>
      <c r="AG21" s="2025">
        <f>ROUND(AVERAGE(K21:K$40)/100,4)</f>
        <v>2.4500000000000001E-2</v>
      </c>
      <c r="AH21" s="2025">
        <f>ROUND(AVERAGE(L21:L$40)/100,4)</f>
        <v>1.49E-2</v>
      </c>
    </row>
    <row r="22" spans="1:34" s="2042" customFormat="1" ht="14.4" customHeight="1">
      <c r="A22" s="2037" t="s">
        <v>2121</v>
      </c>
      <c r="B22" s="2038">
        <f t="shared" si="0"/>
        <v>459.95733971036987</v>
      </c>
      <c r="C22" s="2038">
        <f t="shared" si="1"/>
        <v>341.22221064422405</v>
      </c>
      <c r="D22" s="2038">
        <f t="shared" si="2"/>
        <v>341.22221064422405</v>
      </c>
      <c r="E22" s="2038">
        <f t="shared" si="3"/>
        <v>657.19161663724799</v>
      </c>
      <c r="F22" s="2038">
        <f t="shared" si="4"/>
        <v>300.87803644464805</v>
      </c>
      <c r="G22" s="3517"/>
      <c r="H22" s="2039">
        <v>3</v>
      </c>
      <c r="I22" s="2039">
        <v>1.51</v>
      </c>
      <c r="J22" s="2039">
        <v>1.41</v>
      </c>
      <c r="K22" s="2039">
        <v>1.52</v>
      </c>
      <c r="L22" s="2043">
        <v>1.74</v>
      </c>
      <c r="M22" s="2024"/>
      <c r="N22" s="2040">
        <f t="shared" si="11"/>
        <v>1.5100000000000001E-2</v>
      </c>
      <c r="O22" s="2025">
        <f t="shared" si="12"/>
        <v>1.41E-2</v>
      </c>
      <c r="P22" s="2025">
        <f t="shared" si="13"/>
        <v>1.52E-2</v>
      </c>
      <c r="Q22" s="2025">
        <f t="shared" si="14"/>
        <v>1.7399999999999999E-2</v>
      </c>
      <c r="R22" s="2041"/>
      <c r="S22" s="2040"/>
      <c r="T22" s="2025"/>
      <c r="U22" s="2025"/>
      <c r="V22" s="2025"/>
      <c r="W22" s="2024"/>
      <c r="X22" s="2024">
        <f>ROUND(SUMPRODUCT(PRODUCT(1+N22:N$39)),4)</f>
        <v>1.4956</v>
      </c>
      <c r="Y22" s="2024">
        <f>ROUND(SUMPRODUCT(PRODUCT(1+O22:O$39)),4)</f>
        <v>1.3237000000000001</v>
      </c>
      <c r="Z22" s="2024">
        <f t="shared" si="9"/>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si="10"/>
        <v>1.61E-2</v>
      </c>
      <c r="AG22" s="2025">
        <f>ROUND(AVERAGE(K22:K$40)/100,4)</f>
        <v>2.53E-2</v>
      </c>
      <c r="AH22" s="2025">
        <f>ROUND(AVERAGE(L22:L$40)/100,4)</f>
        <v>1.4999999999999999E-2</v>
      </c>
    </row>
    <row r="23" spans="1:34" s="2042" customFormat="1" ht="14.4" customHeight="1">
      <c r="A23" s="2037" t="s">
        <v>2120</v>
      </c>
      <c r="B23" s="2038">
        <f t="shared" si="0"/>
        <v>453.11529869999993</v>
      </c>
      <c r="C23" s="2038">
        <f t="shared" si="1"/>
        <v>336.47787264000004</v>
      </c>
      <c r="D23" s="2038">
        <f t="shared" si="2"/>
        <v>336.47787264000004</v>
      </c>
      <c r="E23" s="2038">
        <f t="shared" si="3"/>
        <v>647.35186823999993</v>
      </c>
      <c r="F23" s="2038">
        <f t="shared" si="4"/>
        <v>295.73229452000004</v>
      </c>
      <c r="G23" s="3517"/>
      <c r="H23" s="2048">
        <v>2</v>
      </c>
      <c r="I23" s="2048">
        <v>1.49</v>
      </c>
      <c r="J23" s="2048">
        <v>0.96</v>
      </c>
      <c r="K23" s="2048">
        <v>1.58</v>
      </c>
      <c r="L23" s="2049">
        <v>2.44</v>
      </c>
      <c r="M23" s="2024"/>
      <c r="N23" s="2040">
        <f>I23/100</f>
        <v>1.49E-2</v>
      </c>
      <c r="O23" s="2025">
        <f t="shared" si="12"/>
        <v>9.5999999999999992E-3</v>
      </c>
      <c r="P23" s="2025">
        <f t="shared" si="13"/>
        <v>1.5800000000000002E-2</v>
      </c>
      <c r="Q23" s="2025">
        <f t="shared" si="14"/>
        <v>2.4399999999999998E-2</v>
      </c>
      <c r="R23" s="2041"/>
      <c r="S23" s="2040"/>
      <c r="T23" s="2025"/>
      <c r="U23" s="2025"/>
      <c r="V23" s="2025"/>
      <c r="W23" s="2024"/>
      <c r="X23" s="2024">
        <f>ROUND(SUMPRODUCT(PRODUCT(1+N23:N$39)),4)</f>
        <v>1.4733000000000001</v>
      </c>
      <c r="Y23" s="2024">
        <f>ROUND(SUMPRODUCT(PRODUCT(1+O23:O$39)),4)</f>
        <v>1.3052999999999999</v>
      </c>
      <c r="Z23" s="2024">
        <f t="shared" si="9"/>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si="10"/>
        <v>1.6199999999999999E-2</v>
      </c>
      <c r="AG23" s="2025">
        <f>ROUND(AVERAGE(K23:K$40)/100,4)</f>
        <v>2.5899999999999999E-2</v>
      </c>
      <c r="AH23" s="2025">
        <f>ROUND(AVERAGE(L23:L$40)/100,4)</f>
        <v>1.49E-2</v>
      </c>
    </row>
    <row r="24" spans="1:34" s="2042" customFormat="1" ht="15" customHeight="1" thickBot="1">
      <c r="A24" s="2037" t="s">
        <v>2113</v>
      </c>
      <c r="B24" s="2038">
        <f t="shared" si="0"/>
        <v>446.46299999999997</v>
      </c>
      <c r="C24" s="2038">
        <f t="shared" si="1"/>
        <v>333.27840000000003</v>
      </c>
      <c r="D24" s="2038">
        <f t="shared" si="2"/>
        <v>333.27840000000003</v>
      </c>
      <c r="E24" s="2038">
        <f t="shared" si="3"/>
        <v>637.28279999999995</v>
      </c>
      <c r="F24" s="2038">
        <f t="shared" si="4"/>
        <v>288.68830000000003</v>
      </c>
      <c r="G24" s="3524"/>
      <c r="H24" s="2039">
        <v>1</v>
      </c>
      <c r="I24" s="2039">
        <v>1.7</v>
      </c>
      <c r="J24" s="2039">
        <v>1.92</v>
      </c>
      <c r="K24" s="2039">
        <v>1.64</v>
      </c>
      <c r="L24" s="2043">
        <v>2.0099999999999998</v>
      </c>
      <c r="M24" s="2024"/>
      <c r="N24" s="2040">
        <f t="shared" ref="N24:N29" si="15">I24/100</f>
        <v>1.7000000000000001E-2</v>
      </c>
      <c r="O24" s="2025">
        <f t="shared" si="12"/>
        <v>1.9199999999999998E-2</v>
      </c>
      <c r="P24" s="2025">
        <f t="shared" si="13"/>
        <v>1.6399999999999998E-2</v>
      </c>
      <c r="Q24" s="2025">
        <f t="shared" si="14"/>
        <v>2.0099999999999996E-2</v>
      </c>
      <c r="R24" s="2041"/>
      <c r="S24" s="2040">
        <f>B24/B25-1</f>
        <v>1.6999999999999904E-2</v>
      </c>
      <c r="T24" s="2025">
        <f>C24/C25-1</f>
        <v>1.9200000000000106E-2</v>
      </c>
      <c r="U24" s="2025">
        <f>D24/D25-1</f>
        <v>1.9200000000000106E-2</v>
      </c>
      <c r="V24" s="2025">
        <f>E24/E25-1</f>
        <v>1.639999999999997E-2</v>
      </c>
      <c r="W24" s="2024"/>
      <c r="X24" s="2024">
        <f>ROUND(SUMPRODUCT(PRODUCT(1+N24:N$39)),4)</f>
        <v>1.4517</v>
      </c>
      <c r="Y24" s="2024">
        <f>ROUND(SUMPRODUCT(PRODUCT(1+O24:O$39)),4)</f>
        <v>1.2928999999999999</v>
      </c>
      <c r="Z24" s="2024">
        <f t="shared" si="9"/>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si="10"/>
        <v>1.66E-2</v>
      </c>
      <c r="AG24" s="2025">
        <f>ROUND(AVERAGE(K24:K$40)/100,4)</f>
        <v>2.6499999999999999E-2</v>
      </c>
      <c r="AH24" s="2025">
        <f>ROUND(AVERAGE(L24:L$40)/100,4)</f>
        <v>1.43E-2</v>
      </c>
    </row>
    <row r="25" spans="1:34">
      <c r="A25" s="2037" t="s">
        <v>2111</v>
      </c>
      <c r="B25" s="2046">
        <v>439</v>
      </c>
      <c r="C25" s="2046">
        <v>327</v>
      </c>
      <c r="D25" s="2046">
        <f t="shared" si="2"/>
        <v>327</v>
      </c>
      <c r="E25" s="2046">
        <v>627</v>
      </c>
      <c r="F25" s="2047">
        <v>283</v>
      </c>
      <c r="G25" s="3520">
        <v>2017</v>
      </c>
      <c r="H25" s="2044">
        <v>4</v>
      </c>
      <c r="I25" s="2044">
        <v>1.71</v>
      </c>
      <c r="J25" s="2044">
        <v>1.78</v>
      </c>
      <c r="K25" s="2044">
        <v>1.71</v>
      </c>
      <c r="L25" s="2045">
        <v>1.43</v>
      </c>
      <c r="N25" s="2040">
        <f t="shared" si="15"/>
        <v>1.7100000000000001E-2</v>
      </c>
      <c r="O25" s="2025">
        <f t="shared" si="12"/>
        <v>1.78E-2</v>
      </c>
      <c r="P25" s="2025">
        <f t="shared" si="13"/>
        <v>1.7100000000000001E-2</v>
      </c>
      <c r="Q25" s="2025">
        <f t="shared" si="14"/>
        <v>1.43E-2</v>
      </c>
      <c r="R25" s="2041"/>
      <c r="S25" s="2050"/>
      <c r="T25" s="2051"/>
      <c r="U25" s="2051"/>
      <c r="V25" s="2051"/>
      <c r="X25" s="2024">
        <f>ROUND(SUMPRODUCT(PRODUCT(1+N25:N$39)),4)</f>
        <v>1.4274</v>
      </c>
      <c r="Y25" s="2024">
        <f>ROUND(SUMPRODUCT(PRODUCT(1+O25:O$39)),4)</f>
        <v>1.2685</v>
      </c>
      <c r="Z25" s="2024">
        <f t="shared" si="9"/>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0"/>
        <v>1.6500000000000001E-2</v>
      </c>
      <c r="AG25" s="2025">
        <f>ROUND(AVERAGE(K25:K$40)/100,4)</f>
        <v>2.7099999999999999E-2</v>
      </c>
      <c r="AH25" s="2025">
        <f>ROUND(AVERAGE(L25:L$40)/100,4)</f>
        <v>1.3899999999999999E-2</v>
      </c>
    </row>
    <row r="26" spans="1:34" s="2042" customFormat="1" ht="14.4" customHeight="1">
      <c r="A26" s="2037" t="s">
        <v>2112</v>
      </c>
      <c r="B26" s="2038">
        <f t="shared" ref="B26:C28" si="16">B27*(1+N26)</f>
        <v>431.80730811680002</v>
      </c>
      <c r="C26" s="2038">
        <f t="shared" si="16"/>
        <v>320.57880516480003</v>
      </c>
      <c r="D26" s="2038">
        <f t="shared" si="2"/>
        <v>320.57880516480003</v>
      </c>
      <c r="E26" s="2038">
        <f t="shared" ref="E26:F28" si="17">E27*(1+P26)</f>
        <v>615.96110553196797</v>
      </c>
      <c r="F26" s="2038">
        <f t="shared" si="17"/>
        <v>279.46777300108801</v>
      </c>
      <c r="G26" s="3517"/>
      <c r="H26" s="2039">
        <v>3</v>
      </c>
      <c r="I26" s="2039">
        <v>2.98</v>
      </c>
      <c r="J26" s="2039">
        <v>2.11</v>
      </c>
      <c r="K26" s="2039">
        <v>3.24</v>
      </c>
      <c r="L26" s="2043">
        <v>1.72</v>
      </c>
      <c r="M26" s="2024"/>
      <c r="N26" s="2040">
        <f t="shared" si="15"/>
        <v>2.98E-2</v>
      </c>
      <c r="O26" s="2025">
        <f t="shared" si="12"/>
        <v>2.1099999999999997E-2</v>
      </c>
      <c r="P26" s="2025">
        <f t="shared" si="13"/>
        <v>3.2400000000000005E-2</v>
      </c>
      <c r="Q26" s="2025">
        <f t="shared" si="14"/>
        <v>1.72E-2</v>
      </c>
      <c r="R26" s="2041"/>
      <c r="S26" s="2040"/>
      <c r="T26" s="2025"/>
      <c r="U26" s="2025"/>
      <c r="V26" s="2025"/>
      <c r="W26" s="2024"/>
      <c r="X26" s="2024">
        <f>ROUND(SUMPRODUCT(PRODUCT(1+N26:N$39)),4)</f>
        <v>1.4034</v>
      </c>
      <c r="Y26" s="2024">
        <f>ROUND(SUMPRODUCT(PRODUCT(1+O26:O$39)),4)</f>
        <v>1.2463</v>
      </c>
      <c r="Z26" s="2024">
        <f t="shared" si="9"/>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0"/>
        <v>1.6400000000000001E-2</v>
      </c>
      <c r="AG26" s="2025">
        <f>ROUND(AVERAGE(K26:K$40)/100,4)</f>
        <v>2.7799999999999998E-2</v>
      </c>
      <c r="AH26" s="2025">
        <f>ROUND(AVERAGE(L26:L$40)/100,4)</f>
        <v>1.3899999999999999E-2</v>
      </c>
    </row>
    <row r="27" spans="1:34" s="2031" customFormat="1" ht="14.4" customHeight="1">
      <c r="A27" s="2037" t="s">
        <v>677</v>
      </c>
      <c r="B27" s="2038">
        <f t="shared" si="16"/>
        <v>419.31181600000002</v>
      </c>
      <c r="C27" s="2038">
        <f t="shared" si="16"/>
        <v>313.95436800000004</v>
      </c>
      <c r="D27" s="2038">
        <f t="shared" si="2"/>
        <v>313.95436800000004</v>
      </c>
      <c r="E27" s="2038">
        <f t="shared" si="17"/>
        <v>596.63028431999999</v>
      </c>
      <c r="F27" s="2038">
        <f t="shared" si="17"/>
        <v>274.74220703999998</v>
      </c>
      <c r="G27" s="3517"/>
      <c r="H27" s="2048">
        <v>2</v>
      </c>
      <c r="I27" s="2048">
        <v>3.4</v>
      </c>
      <c r="J27" s="2048">
        <v>2</v>
      </c>
      <c r="K27" s="2048">
        <v>3.82</v>
      </c>
      <c r="L27" s="2049">
        <v>1.68</v>
      </c>
      <c r="M27" s="2024"/>
      <c r="N27" s="2040">
        <f t="shared" si="15"/>
        <v>3.4000000000000002E-2</v>
      </c>
      <c r="O27" s="2025">
        <f t="shared" si="12"/>
        <v>0.02</v>
      </c>
      <c r="P27" s="2025">
        <f t="shared" si="13"/>
        <v>3.8199999999999998E-2</v>
      </c>
      <c r="Q27" s="2025">
        <f t="shared" si="14"/>
        <v>1.6799999999999999E-2</v>
      </c>
      <c r="R27" s="2041"/>
      <c r="S27" s="2050"/>
      <c r="T27" s="2051"/>
      <c r="U27" s="2051"/>
      <c r="V27" s="2051"/>
      <c r="W27" s="2006"/>
      <c r="X27" s="2024">
        <f>ROUND(SUMPRODUCT(PRODUCT(1+N27:N$39)),4)</f>
        <v>1.3628</v>
      </c>
      <c r="Y27" s="2024">
        <f>ROUND(SUMPRODUCT(PRODUCT(1+O27:O$39)),4)</f>
        <v>1.2205999999999999</v>
      </c>
      <c r="Z27" s="2024">
        <f t="shared" si="9"/>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0"/>
        <v>1.6E-2</v>
      </c>
      <c r="AG27" s="2025">
        <f>ROUND(AVERAGE(K27:K$40)/100,4)</f>
        <v>2.75E-2</v>
      </c>
      <c r="AH27" s="2025">
        <f>ROUND(AVERAGE(L27:L$40)/100,4)</f>
        <v>1.37E-2</v>
      </c>
    </row>
    <row r="28" spans="1:34" s="2042" customFormat="1" ht="15" customHeight="1" thickBot="1">
      <c r="A28" s="2037" t="s">
        <v>463</v>
      </c>
      <c r="B28" s="2038">
        <f t="shared" si="16"/>
        <v>405.524</v>
      </c>
      <c r="C28" s="2038">
        <f t="shared" si="16"/>
        <v>307.79840000000002</v>
      </c>
      <c r="D28" s="2038">
        <f t="shared" si="2"/>
        <v>307.79840000000002</v>
      </c>
      <c r="E28" s="2038">
        <f t="shared" si="17"/>
        <v>574.67759999999998</v>
      </c>
      <c r="F28" s="2038">
        <f t="shared" si="17"/>
        <v>270.20280000000002</v>
      </c>
      <c r="G28" s="3524"/>
      <c r="H28" s="2039">
        <v>1</v>
      </c>
      <c r="I28" s="2039">
        <v>3.45</v>
      </c>
      <c r="J28" s="2039">
        <v>1.92</v>
      </c>
      <c r="K28" s="2039">
        <v>3.92</v>
      </c>
      <c r="L28" s="2043">
        <v>1.58</v>
      </c>
      <c r="M28" s="2024"/>
      <c r="N28" s="2040">
        <f t="shared" si="15"/>
        <v>3.4500000000000003E-2</v>
      </c>
      <c r="O28" s="2025">
        <f t="shared" ref="O28:Q43" si="18">J28/100</f>
        <v>1.9199999999999998E-2</v>
      </c>
      <c r="P28" s="2025">
        <f t="shared" si="18"/>
        <v>3.9199999999999999E-2</v>
      </c>
      <c r="Q28" s="2025">
        <f t="shared" si="18"/>
        <v>1.5800000000000002E-2</v>
      </c>
      <c r="R28" s="2041"/>
      <c r="S28" s="2040">
        <f>B28/B29-1</f>
        <v>3.4499999999999975E-2</v>
      </c>
      <c r="T28" s="2025">
        <f>C28/C29-1</f>
        <v>1.9200000000000106E-2</v>
      </c>
      <c r="U28" s="2025">
        <f>D28/D29-1</f>
        <v>1.9200000000000106E-2</v>
      </c>
      <c r="V28" s="2025">
        <f>E28/E29-1</f>
        <v>3.9199999999999902E-2</v>
      </c>
      <c r="W28" s="2024"/>
      <c r="X28" s="2024">
        <f>ROUND(SUMPRODUCT(PRODUCT(1+N28:N$39)),4)</f>
        <v>1.3180000000000001</v>
      </c>
      <c r="Y28" s="2024">
        <f>ROUND(SUMPRODUCT(PRODUCT(1+O28:O$39)),4)</f>
        <v>1.1966000000000001</v>
      </c>
      <c r="Z28" s="2024">
        <f t="shared" si="9"/>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0"/>
        <v>1.5699999999999999E-2</v>
      </c>
      <c r="AG28" s="2025">
        <f>ROUND(AVERAGE(K28:K$40)/100,4)</f>
        <v>2.6599999999999999E-2</v>
      </c>
      <c r="AH28" s="2025">
        <f>ROUND(AVERAGE(L28:L$40)/100,4)</f>
        <v>1.34E-2</v>
      </c>
    </row>
    <row r="29" spans="1:34">
      <c r="A29" s="2037" t="s">
        <v>127</v>
      </c>
      <c r="B29" s="2046">
        <v>392</v>
      </c>
      <c r="C29" s="2046">
        <v>302</v>
      </c>
      <c r="D29" s="2046">
        <f t="shared" si="2"/>
        <v>302</v>
      </c>
      <c r="E29" s="2046">
        <v>553</v>
      </c>
      <c r="F29" s="2047">
        <v>266</v>
      </c>
      <c r="G29" s="3520">
        <v>2016</v>
      </c>
      <c r="H29" s="2044">
        <v>4</v>
      </c>
      <c r="I29" s="2044">
        <v>4.5599999999999996</v>
      </c>
      <c r="J29" s="2044">
        <v>2.15</v>
      </c>
      <c r="K29" s="2044">
        <v>5.32</v>
      </c>
      <c r="L29" s="2045">
        <v>1.57</v>
      </c>
      <c r="N29" s="2040">
        <f t="shared" si="15"/>
        <v>4.5599999999999995E-2</v>
      </c>
      <c r="O29" s="2025">
        <f t="shared" si="18"/>
        <v>2.1499999999999998E-2</v>
      </c>
      <c r="P29" s="2025">
        <f t="shared" si="18"/>
        <v>5.3200000000000004E-2</v>
      </c>
      <c r="Q29" s="2025">
        <f t="shared" si="18"/>
        <v>1.5700000000000002E-2</v>
      </c>
      <c r="R29" s="2041"/>
      <c r="S29" s="2050"/>
      <c r="T29" s="2051"/>
      <c r="U29" s="2051"/>
      <c r="V29" s="2051"/>
      <c r="X29" s="2024">
        <f>ROUND(SUMPRODUCT(PRODUCT(1+N29:N$39)),4)</f>
        <v>1.274</v>
      </c>
      <c r="Y29" s="2024">
        <f>ROUND(SUMPRODUCT(PRODUCT(1+O29:O$39)),4)</f>
        <v>1.1740999999999999</v>
      </c>
      <c r="Z29" s="2024">
        <f t="shared" si="9"/>
        <v>1.1740999999999999</v>
      </c>
      <c r="AA29" s="2024">
        <f>ROUND(SUMPRODUCT(PRODUCT(1+P29:P$39)),4)</f>
        <v>1.3087</v>
      </c>
      <c r="AB29" s="2024">
        <f>ROUND(SUMPRODUCT(PRODUCT(1+Q29:Q$39)),4)</f>
        <v>1.1551</v>
      </c>
      <c r="AD29" s="2025">
        <f>ROUND(AVERAGE(I29:I$40)/100,4)</f>
        <v>2.3E-2</v>
      </c>
      <c r="AE29" s="2025">
        <f>ROUND(AVERAGE(J29:J$40)/100,4)</f>
        <v>1.55E-2</v>
      </c>
      <c r="AF29" s="2025">
        <f t="shared" si="10"/>
        <v>1.55E-2</v>
      </c>
      <c r="AG29" s="2025">
        <f>ROUND(AVERAGE(K29:K$40)/100,4)</f>
        <v>2.5600000000000001E-2</v>
      </c>
      <c r="AH29" s="2025">
        <f>ROUND(AVERAGE(L29:L$40)/100,4)</f>
        <v>1.32E-2</v>
      </c>
    </row>
    <row r="30" spans="1:34">
      <c r="A30" s="2037" t="s">
        <v>126</v>
      </c>
      <c r="B30" s="2038">
        <f t="shared" ref="B30:C32" si="19">B29/(1+N29)</f>
        <v>374.90436113236416</v>
      </c>
      <c r="C30" s="2038">
        <f t="shared" si="19"/>
        <v>295.64366128242779</v>
      </c>
      <c r="D30" s="2038">
        <f t="shared" ref="D30:D89" si="20">C30</f>
        <v>295.64366128242779</v>
      </c>
      <c r="E30" s="2038">
        <f t="shared" ref="E30:F32" si="21">E29/(1+P29)</f>
        <v>525.06646410938095</v>
      </c>
      <c r="F30" s="2038">
        <f t="shared" si="21"/>
        <v>261.88835286009646</v>
      </c>
      <c r="G30" s="3517"/>
      <c r="H30" s="2039">
        <v>3</v>
      </c>
      <c r="I30" s="2039">
        <v>4.12</v>
      </c>
      <c r="J30" s="2039">
        <v>2</v>
      </c>
      <c r="K30" s="2039">
        <v>4.79</v>
      </c>
      <c r="L30" s="2043">
        <v>1.97</v>
      </c>
      <c r="N30" s="2040">
        <f t="shared" ref="N30:Q64" si="22">I30/100</f>
        <v>4.1200000000000001E-2</v>
      </c>
      <c r="O30" s="2025">
        <f t="shared" si="18"/>
        <v>0.02</v>
      </c>
      <c r="P30" s="2025">
        <f t="shared" si="18"/>
        <v>4.7899999999999998E-2</v>
      </c>
      <c r="Q30" s="2025">
        <f t="shared" si="18"/>
        <v>1.9699999999999999E-2</v>
      </c>
      <c r="R30" s="2041"/>
      <c r="S30" s="2040"/>
      <c r="T30" s="2025"/>
      <c r="U30" s="2025"/>
      <c r="V30" s="2025"/>
      <c r="X30" s="2024">
        <f>ROUND(SUMPRODUCT(PRODUCT(1+N30:N$39)),4)</f>
        <v>1.2184999999999999</v>
      </c>
      <c r="Y30" s="2024">
        <f>ROUND(SUMPRODUCT(PRODUCT(1+O30:O$39)),4)</f>
        <v>1.1494</v>
      </c>
      <c r="Z30" s="2024">
        <f t="shared" si="9"/>
        <v>1.1494</v>
      </c>
      <c r="AA30" s="2024">
        <f>ROUND(SUMPRODUCT(PRODUCT(1+P30:P$39)),4)</f>
        <v>1.2425999999999999</v>
      </c>
      <c r="AB30" s="2024">
        <f>ROUND(SUMPRODUCT(PRODUCT(1+Q30:Q$39)),4)</f>
        <v>1.1372</v>
      </c>
      <c r="AD30" s="2025">
        <f>ROUND(AVERAGE(I30:I$40)/100,4)</f>
        <v>2.0899999999999998E-2</v>
      </c>
      <c r="AE30" s="2025">
        <f>ROUND(AVERAGE(J30:J$40)/100,4)</f>
        <v>1.49E-2</v>
      </c>
      <c r="AF30" s="2025">
        <f t="shared" si="10"/>
        <v>1.49E-2</v>
      </c>
      <c r="AG30" s="2025">
        <f>ROUND(AVERAGE(K30:K$40)/100,4)</f>
        <v>2.3099999999999999E-2</v>
      </c>
      <c r="AH30" s="2025">
        <f>ROUND(AVERAGE(L30:L$40)/100,4)</f>
        <v>1.2999999999999999E-2</v>
      </c>
    </row>
    <row r="31" spans="1:34">
      <c r="A31" s="2037" t="s">
        <v>116</v>
      </c>
      <c r="B31" s="2038">
        <f t="shared" si="19"/>
        <v>360.06949782209392</v>
      </c>
      <c r="C31" s="2038">
        <f t="shared" si="19"/>
        <v>289.84672674747821</v>
      </c>
      <c r="D31" s="2038">
        <f t="shared" si="20"/>
        <v>289.84672674747821</v>
      </c>
      <c r="E31" s="2038">
        <f t="shared" si="21"/>
        <v>501.06543001181495</v>
      </c>
      <c r="F31" s="2038">
        <f t="shared" si="21"/>
        <v>256.82882500744967</v>
      </c>
      <c r="G31" s="3517"/>
      <c r="H31" s="2048">
        <v>2</v>
      </c>
      <c r="I31" s="2048">
        <v>3.85</v>
      </c>
      <c r="J31" s="2048">
        <v>1.95</v>
      </c>
      <c r="K31" s="2048">
        <v>4.4800000000000004</v>
      </c>
      <c r="L31" s="2049">
        <v>1.41</v>
      </c>
      <c r="N31" s="2040">
        <f t="shared" si="22"/>
        <v>3.85E-2</v>
      </c>
      <c r="O31" s="2025">
        <f t="shared" si="18"/>
        <v>1.95E-2</v>
      </c>
      <c r="P31" s="2025">
        <f t="shared" si="18"/>
        <v>4.4800000000000006E-2</v>
      </c>
      <c r="Q31" s="2025">
        <f t="shared" si="18"/>
        <v>1.41E-2</v>
      </c>
      <c r="R31" s="2041"/>
      <c r="S31" s="2040"/>
      <c r="T31" s="2025"/>
      <c r="U31" s="2025"/>
      <c r="V31" s="2025"/>
      <c r="X31" s="2024">
        <f>ROUND(SUMPRODUCT(PRODUCT(1+N31:N$39)),4)</f>
        <v>1.1702999999999999</v>
      </c>
      <c r="Y31" s="2024">
        <f>ROUND(SUMPRODUCT(PRODUCT(1+O31:O$39)),4)</f>
        <v>1.1269</v>
      </c>
      <c r="Z31" s="2024">
        <f t="shared" si="9"/>
        <v>1.1269</v>
      </c>
      <c r="AA31" s="2024">
        <f>ROUND(SUMPRODUCT(PRODUCT(1+P31:P$39)),4)</f>
        <v>1.1858</v>
      </c>
      <c r="AB31" s="2024">
        <f>ROUND(SUMPRODUCT(PRODUCT(1+Q31:Q$39)),4)</f>
        <v>1.1152</v>
      </c>
      <c r="AD31" s="2025">
        <f>ROUND(AVERAGE(I31:I$40)/100,4)</f>
        <v>1.89E-2</v>
      </c>
      <c r="AE31" s="2025">
        <f>ROUND(AVERAGE(J31:J$40)/100,4)</f>
        <v>1.44E-2</v>
      </c>
      <c r="AF31" s="2025">
        <f t="shared" si="10"/>
        <v>1.44E-2</v>
      </c>
      <c r="AG31" s="2025">
        <f>ROUND(AVERAGE(K31:K$40)/100,4)</f>
        <v>2.06E-2</v>
      </c>
      <c r="AH31" s="2025">
        <f>ROUND(AVERAGE(L31:L$40)/100,4)</f>
        <v>1.23E-2</v>
      </c>
    </row>
    <row r="32" spans="1:34" ht="13.8" thickBot="1">
      <c r="A32" s="2037" t="s">
        <v>125</v>
      </c>
      <c r="B32" s="2038">
        <f t="shared" si="19"/>
        <v>346.720748986128</v>
      </c>
      <c r="C32" s="2038">
        <f t="shared" si="19"/>
        <v>284.30282172386285</v>
      </c>
      <c r="D32" s="2038">
        <f t="shared" si="20"/>
        <v>284.30282172386285</v>
      </c>
      <c r="E32" s="2038">
        <f t="shared" si="21"/>
        <v>479.58023546306947</v>
      </c>
      <c r="F32" s="2038">
        <f t="shared" si="21"/>
        <v>253.25788877571213</v>
      </c>
      <c r="G32" s="3518"/>
      <c r="H32" s="2039">
        <v>1</v>
      </c>
      <c r="I32" s="2039">
        <v>4.09</v>
      </c>
      <c r="J32" s="2039">
        <v>2.93</v>
      </c>
      <c r="K32" s="2039">
        <v>4.54</v>
      </c>
      <c r="L32" s="2043">
        <v>1.48</v>
      </c>
      <c r="N32" s="2040">
        <f t="shared" si="22"/>
        <v>4.0899999999999999E-2</v>
      </c>
      <c r="O32" s="2025">
        <f t="shared" si="18"/>
        <v>2.9300000000000003E-2</v>
      </c>
      <c r="P32" s="2025">
        <f t="shared" si="18"/>
        <v>4.5400000000000003E-2</v>
      </c>
      <c r="Q32" s="2025">
        <f t="shared" si="18"/>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9"/>
        <v>1.1052999999999999</v>
      </c>
      <c r="AA32" s="2024">
        <f>ROUND(SUMPRODUCT(PRODUCT(1+P32:P$39)),4)</f>
        <v>1.1349</v>
      </c>
      <c r="AB32" s="2024">
        <f>ROUND(SUMPRODUCT(PRODUCT(1+Q32:Q$39)),4)</f>
        <v>1.0996999999999999</v>
      </c>
      <c r="AD32" s="2025">
        <f>ROUND(AVERAGE(I32:I$40)/100,4)</f>
        <v>1.67E-2</v>
      </c>
      <c r="AE32" s="2025">
        <f>ROUND(AVERAGE(J32:J$40)/100,4)</f>
        <v>1.38E-2</v>
      </c>
      <c r="AF32" s="2025">
        <f t="shared" si="10"/>
        <v>1.38E-2</v>
      </c>
      <c r="AG32" s="2025">
        <f>ROUND(AVERAGE(K32:K$40)/100,4)</f>
        <v>1.7899999999999999E-2</v>
      </c>
      <c r="AH32" s="2025">
        <f>ROUND(AVERAGE(L32:L$40)/100,4)</f>
        <v>1.21E-2</v>
      </c>
    </row>
    <row r="33" spans="1:34" ht="13.8" thickBot="1">
      <c r="A33" s="2037" t="s">
        <v>124</v>
      </c>
      <c r="B33" s="2046">
        <v>333</v>
      </c>
      <c r="C33" s="2046">
        <v>277</v>
      </c>
      <c r="D33" s="2046">
        <f t="shared" si="20"/>
        <v>277</v>
      </c>
      <c r="E33" s="2046">
        <v>459</v>
      </c>
      <c r="F33" s="2047">
        <v>249</v>
      </c>
      <c r="G33" s="3516">
        <v>2015</v>
      </c>
      <c r="H33" s="2054">
        <v>4</v>
      </c>
      <c r="I33" s="2054">
        <v>1.63</v>
      </c>
      <c r="J33" s="2054">
        <v>1.1100000000000001</v>
      </c>
      <c r="K33" s="2054">
        <v>1.77</v>
      </c>
      <c r="L33" s="2055">
        <v>1.89</v>
      </c>
      <c r="N33" s="2056">
        <f t="shared" si="22"/>
        <v>1.6299999999999999E-2</v>
      </c>
      <c r="O33" s="2057">
        <f t="shared" si="18"/>
        <v>1.11E-2</v>
      </c>
      <c r="P33" s="2057">
        <f t="shared" si="18"/>
        <v>1.77E-2</v>
      </c>
      <c r="Q33" s="2057">
        <f t="shared" si="18"/>
        <v>1.89E-2</v>
      </c>
      <c r="R33" s="2041"/>
      <c r="X33" s="2024">
        <f>ROUND(SUMPRODUCT(PRODUCT(1+N33:N$39)),4)</f>
        <v>1.0826</v>
      </c>
      <c r="Y33" s="2024">
        <f>ROUND(SUMPRODUCT(PRODUCT(1+O33:O$39)),4)</f>
        <v>1.0738000000000001</v>
      </c>
      <c r="Z33" s="2024">
        <f t="shared" si="9"/>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0"/>
        <v>1.1900000000000001E-2</v>
      </c>
      <c r="AG33" s="2025">
        <f>ROUND(AVERAGE(K33:K$40)/100,4)</f>
        <v>1.4500000000000001E-2</v>
      </c>
      <c r="AH33" s="2025">
        <f>ROUND(AVERAGE(L33:L$40)/100,4)</f>
        <v>1.18E-2</v>
      </c>
    </row>
    <row r="34" spans="1:34">
      <c r="A34" s="2037" t="s">
        <v>123</v>
      </c>
      <c r="B34" s="2038">
        <f t="shared" ref="B34:C36" si="23">B33/(1+N33)</f>
        <v>327.65915576109415</v>
      </c>
      <c r="C34" s="2038">
        <f t="shared" si="23"/>
        <v>273.95905449510434</v>
      </c>
      <c r="D34" s="2038">
        <f t="shared" si="20"/>
        <v>273.95905449510434</v>
      </c>
      <c r="E34" s="2038">
        <f t="shared" ref="E34:F36" si="24">E33/(1+P33)</f>
        <v>451.01699911565294</v>
      </c>
      <c r="F34" s="2038">
        <f t="shared" si="24"/>
        <v>244.38119540681129</v>
      </c>
      <c r="G34" s="3517"/>
      <c r="H34" s="2059">
        <v>3</v>
      </c>
      <c r="I34" s="2059">
        <v>1.65</v>
      </c>
      <c r="J34" s="2059">
        <v>0.92</v>
      </c>
      <c r="K34" s="2059">
        <v>1.88</v>
      </c>
      <c r="L34" s="2060">
        <v>1.26</v>
      </c>
      <c r="N34" s="2040">
        <f t="shared" si="22"/>
        <v>1.6500000000000001E-2</v>
      </c>
      <c r="O34" s="2025">
        <f t="shared" si="18"/>
        <v>9.1999999999999998E-3</v>
      </c>
      <c r="P34" s="2025">
        <f t="shared" si="18"/>
        <v>1.8799999999999997E-2</v>
      </c>
      <c r="Q34" s="2025">
        <f t="shared" si="18"/>
        <v>1.26E-2</v>
      </c>
      <c r="R34" s="2041"/>
      <c r="S34" s="2040"/>
      <c r="T34" s="2025"/>
      <c r="U34" s="2025"/>
      <c r="V34" s="2025"/>
      <c r="X34" s="2024">
        <f>ROUND(SUMPRODUCT(PRODUCT(1+N34:N$39)),4)</f>
        <v>1.0651999999999999</v>
      </c>
      <c r="Y34" s="2024">
        <f>ROUND(SUMPRODUCT(PRODUCT(1+O34:O$39)),4)</f>
        <v>1.0621</v>
      </c>
      <c r="Z34" s="2024">
        <f t="shared" si="9"/>
        <v>1.0621</v>
      </c>
      <c r="AA34" s="2024">
        <f>ROUND(SUMPRODUCT(PRODUCT(1+P34:P$39)),4)</f>
        <v>1.0668</v>
      </c>
      <c r="AB34" s="2024">
        <f>ROUND(SUMPRODUCT(PRODUCT(1+Q34:Q$39)),4)</f>
        <v>1.0636000000000001</v>
      </c>
      <c r="AD34" s="2025">
        <f>ROUND(AVERAGE(I34:I$40)/100,4)</f>
        <v>1.3299999999999999E-2</v>
      </c>
      <c r="AE34" s="2025">
        <f>ROUND(AVERAGE(J34:J$40)/100,4)</f>
        <v>1.2E-2</v>
      </c>
      <c r="AF34" s="2025">
        <f t="shared" si="10"/>
        <v>1.2E-2</v>
      </c>
      <c r="AG34" s="2025">
        <f>ROUND(AVERAGE(K34:K$40)/100,4)</f>
        <v>1.4E-2</v>
      </c>
      <c r="AH34" s="2025">
        <f>ROUND(AVERAGE(L34:L$40)/100,4)</f>
        <v>1.0800000000000001E-2</v>
      </c>
    </row>
    <row r="35" spans="1:34">
      <c r="A35" s="2037" t="s">
        <v>122</v>
      </c>
      <c r="B35" s="2038">
        <f t="shared" si="23"/>
        <v>322.34053690220776</v>
      </c>
      <c r="C35" s="2038">
        <f t="shared" si="23"/>
        <v>271.46160770422546</v>
      </c>
      <c r="D35" s="2038">
        <f t="shared" si="20"/>
        <v>271.46160770422546</v>
      </c>
      <c r="E35" s="2038">
        <f t="shared" si="24"/>
        <v>442.69434542172456</v>
      </c>
      <c r="F35" s="2038">
        <f t="shared" si="24"/>
        <v>241.34030753190925</v>
      </c>
      <c r="G35" s="3517"/>
      <c r="H35" s="2048">
        <v>2</v>
      </c>
      <c r="I35" s="2048">
        <v>0.77</v>
      </c>
      <c r="J35" s="2048">
        <v>0.69</v>
      </c>
      <c r="K35" s="2048">
        <v>0.8</v>
      </c>
      <c r="L35" s="2049">
        <v>0.88</v>
      </c>
      <c r="N35" s="2040">
        <f t="shared" si="22"/>
        <v>7.7000000000000002E-3</v>
      </c>
      <c r="O35" s="2025">
        <f t="shared" si="18"/>
        <v>6.8999999999999999E-3</v>
      </c>
      <c r="P35" s="2025">
        <f t="shared" si="18"/>
        <v>8.0000000000000002E-3</v>
      </c>
      <c r="Q35" s="2025">
        <f t="shared" si="18"/>
        <v>8.8000000000000005E-3</v>
      </c>
      <c r="R35" s="2041"/>
      <c r="S35" s="2040"/>
      <c r="T35" s="2025"/>
      <c r="U35" s="2025"/>
      <c r="V35" s="2025"/>
      <c r="X35" s="2024">
        <f>ROUND(SUMPRODUCT(PRODUCT(1+N35:N$39)),4)</f>
        <v>1.048</v>
      </c>
      <c r="Y35" s="2024">
        <f>ROUND(SUMPRODUCT(PRODUCT(1+O35:O$39)),4)</f>
        <v>1.0524</v>
      </c>
      <c r="Z35" s="2024">
        <f t="shared" si="9"/>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0"/>
        <v>1.2500000000000001E-2</v>
      </c>
      <c r="AG35" s="2025">
        <f>ROUND(AVERAGE(K35:K$40)/100,4)</f>
        <v>1.32E-2</v>
      </c>
      <c r="AH35" s="2025">
        <f>ROUND(AVERAGE(L35:L$40)/100,4)</f>
        <v>1.0500000000000001E-2</v>
      </c>
    </row>
    <row r="36" spans="1:34">
      <c r="A36" s="2037" t="s">
        <v>121</v>
      </c>
      <c r="B36" s="2038">
        <f t="shared" si="23"/>
        <v>319.87748030386797</v>
      </c>
      <c r="C36" s="2038">
        <f t="shared" si="23"/>
        <v>269.60135833173649</v>
      </c>
      <c r="D36" s="2038">
        <f t="shared" si="20"/>
        <v>269.60135833173649</v>
      </c>
      <c r="E36" s="2038">
        <f t="shared" si="24"/>
        <v>439.18089823583784</v>
      </c>
      <c r="F36" s="2038">
        <f t="shared" si="24"/>
        <v>239.23503918706311</v>
      </c>
      <c r="G36" s="3518"/>
      <c r="H36" s="2039">
        <v>1</v>
      </c>
      <c r="I36" s="2039">
        <v>0.51</v>
      </c>
      <c r="J36" s="2039">
        <v>0.54</v>
      </c>
      <c r="K36" s="2039">
        <v>0.48</v>
      </c>
      <c r="L36" s="2043">
        <v>0.93</v>
      </c>
      <c r="N36" s="2052">
        <f t="shared" si="22"/>
        <v>5.1000000000000004E-3</v>
      </c>
      <c r="O36" s="2053">
        <f t="shared" si="18"/>
        <v>5.4000000000000003E-3</v>
      </c>
      <c r="P36" s="2053">
        <f t="shared" si="18"/>
        <v>4.7999999999999996E-3</v>
      </c>
      <c r="Q36" s="2053">
        <f t="shared" si="18"/>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9"/>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0"/>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0"/>
        <v>268</v>
      </c>
      <c r="E37" s="2061">
        <v>437</v>
      </c>
      <c r="F37" s="2062">
        <v>237</v>
      </c>
      <c r="G37" s="3516">
        <v>2014</v>
      </c>
      <c r="H37" s="2054">
        <v>4</v>
      </c>
      <c r="I37" s="2054">
        <v>0.21</v>
      </c>
      <c r="J37" s="2054">
        <v>0.41</v>
      </c>
      <c r="K37" s="2054">
        <v>0.12</v>
      </c>
      <c r="L37" s="2055">
        <v>0.89</v>
      </c>
      <c r="N37" s="2040">
        <f t="shared" si="22"/>
        <v>2.0999999999999999E-3</v>
      </c>
      <c r="O37" s="2025">
        <f t="shared" si="18"/>
        <v>4.0999999999999995E-3</v>
      </c>
      <c r="P37" s="2025">
        <f t="shared" si="18"/>
        <v>1.1999999999999999E-3</v>
      </c>
      <c r="Q37" s="2025">
        <f t="shared" si="18"/>
        <v>8.8999999999999999E-3</v>
      </c>
      <c r="R37" s="2041"/>
      <c r="S37" s="2050"/>
      <c r="T37" s="2051"/>
      <c r="U37" s="2051"/>
      <c r="V37" s="2051"/>
      <c r="X37" s="2024">
        <f>ROUND(SUMPRODUCT(PRODUCT(1+N37:N$39)),4)</f>
        <v>1.0347</v>
      </c>
      <c r="Y37" s="2024">
        <f>ROUND(SUMPRODUCT(PRODUCT(1+O37:O$39)),4)</f>
        <v>1.0395000000000001</v>
      </c>
      <c r="Z37" s="2024">
        <f t="shared" si="9"/>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0"/>
        <v>1.5599999999999999E-2</v>
      </c>
      <c r="AG37" s="2025">
        <f>ROUND(AVERAGE(K37:K$40)/100,4)</f>
        <v>1.66E-2</v>
      </c>
      <c r="AH37" s="2025">
        <f>ROUND(AVERAGE(L37:L$40)/100,4)</f>
        <v>1.12E-2</v>
      </c>
    </row>
    <row r="38" spans="1:34">
      <c r="A38" s="2037" t="s">
        <v>119</v>
      </c>
      <c r="B38" s="2038">
        <f t="shared" ref="B38:C40" si="25">B37/(1+N37)</f>
        <v>317.33359944117353</v>
      </c>
      <c r="C38" s="2038">
        <f t="shared" si="25"/>
        <v>266.90568668459315</v>
      </c>
      <c r="D38" s="2038">
        <f t="shared" si="20"/>
        <v>266.90568668459315</v>
      </c>
      <c r="E38" s="2038">
        <f t="shared" ref="E38:F40" si="26">E37/(1+P37)</f>
        <v>436.47622852576905</v>
      </c>
      <c r="F38" s="2038">
        <f t="shared" si="26"/>
        <v>234.90930716622066</v>
      </c>
      <c r="G38" s="3517"/>
      <c r="H38" s="2063">
        <v>3</v>
      </c>
      <c r="I38" s="2063">
        <v>0.83</v>
      </c>
      <c r="J38" s="2063">
        <v>1.47</v>
      </c>
      <c r="K38" s="2063">
        <v>0.65</v>
      </c>
      <c r="L38" s="2064">
        <v>0.72</v>
      </c>
      <c r="N38" s="2040">
        <f t="shared" si="22"/>
        <v>8.3000000000000001E-3</v>
      </c>
      <c r="O38" s="2025">
        <f t="shared" si="18"/>
        <v>1.47E-2</v>
      </c>
      <c r="P38" s="2025">
        <f t="shared" si="18"/>
        <v>6.5000000000000006E-3</v>
      </c>
      <c r="Q38" s="2025">
        <f t="shared" si="18"/>
        <v>7.1999999999999998E-3</v>
      </c>
      <c r="R38" s="2041"/>
      <c r="S38" s="2040"/>
      <c r="T38" s="2025"/>
      <c r="U38" s="2025"/>
      <c r="V38" s="2025"/>
      <c r="X38" s="2024">
        <f>ROUND(SUMPRODUCT(PRODUCT(1+N38:N$39)),4)</f>
        <v>1.0325</v>
      </c>
      <c r="Y38" s="2024">
        <f>ROUND(SUMPRODUCT(PRODUCT(1+O38:O$39)),4)</f>
        <v>1.0353000000000001</v>
      </c>
      <c r="Z38" s="2024">
        <f t="shared" si="9"/>
        <v>1.0353000000000001</v>
      </c>
      <c r="AA38" s="2024">
        <f>ROUND(SUMPRODUCT(PRODUCT(1+P38:P$39)),4)</f>
        <v>1.0326</v>
      </c>
      <c r="AB38" s="2024">
        <f>ROUND(SUMPRODUCT(PRODUCT(1+Q38:Q$39)),4)</f>
        <v>1.0225</v>
      </c>
      <c r="AD38" s="2025">
        <f>ROUND(AVERAGE(I38:I$40)/100,4)</f>
        <v>2.07E-2</v>
      </c>
      <c r="AE38" s="2025">
        <f>ROUND(AVERAGE(J38:J$40)/100,4)</f>
        <v>1.95E-2</v>
      </c>
      <c r="AF38" s="2025">
        <f t="shared" si="10"/>
        <v>1.95E-2</v>
      </c>
      <c r="AG38" s="2025">
        <f>ROUND(AVERAGE(K38:K$40)/100,4)</f>
        <v>2.1700000000000001E-2</v>
      </c>
      <c r="AH38" s="2025">
        <f>ROUND(AVERAGE(L38:L$40)/100,4)</f>
        <v>1.2E-2</v>
      </c>
    </row>
    <row r="39" spans="1:34" ht="13.8" thickBot="1">
      <c r="A39" s="2037" t="s">
        <v>118</v>
      </c>
      <c r="B39" s="2038">
        <f t="shared" si="25"/>
        <v>314.72141172386546</v>
      </c>
      <c r="C39" s="2038">
        <f t="shared" si="25"/>
        <v>263.03901319069001</v>
      </c>
      <c r="D39" s="2038">
        <f t="shared" si="20"/>
        <v>263.03901319069001</v>
      </c>
      <c r="E39" s="2038">
        <f t="shared" si="26"/>
        <v>433.65745506782821</v>
      </c>
      <c r="F39" s="2038">
        <f t="shared" si="26"/>
        <v>233.23005080045735</v>
      </c>
      <c r="G39" s="3517"/>
      <c r="H39" s="2054">
        <v>2</v>
      </c>
      <c r="I39" s="2054">
        <v>2.4</v>
      </c>
      <c r="J39" s="2054">
        <v>2.0299999999999998</v>
      </c>
      <c r="K39" s="2054">
        <v>2.59</v>
      </c>
      <c r="L39" s="2055">
        <v>1.52</v>
      </c>
      <c r="N39" s="2040">
        <f t="shared" si="22"/>
        <v>2.4E-2</v>
      </c>
      <c r="O39" s="2025">
        <f t="shared" si="18"/>
        <v>2.0299999999999999E-2</v>
      </c>
      <c r="P39" s="2025">
        <f t="shared" si="18"/>
        <v>2.5899999999999999E-2</v>
      </c>
      <c r="Q39" s="2025">
        <f t="shared" si="18"/>
        <v>1.52E-2</v>
      </c>
      <c r="R39" s="2041"/>
      <c r="S39" s="2040"/>
      <c r="T39" s="2025"/>
      <c r="U39" s="2025"/>
      <c r="V39" s="2025"/>
      <c r="X39" s="2024">
        <f>1+N39</f>
        <v>1.024</v>
      </c>
      <c r="Y39" s="2024">
        <f>1+O39</f>
        <v>1.0203</v>
      </c>
      <c r="Z39" s="2024">
        <f t="shared" si="9"/>
        <v>1.0203</v>
      </c>
      <c r="AA39" s="2024">
        <f>1+P39</f>
        <v>1.0259</v>
      </c>
      <c r="AB39" s="2024">
        <f>1+Q39</f>
        <v>1.0152000000000001</v>
      </c>
      <c r="AD39" s="2025">
        <f>ROUND(AVERAGE(I39:I$40)/100,4)</f>
        <v>2.69E-2</v>
      </c>
      <c r="AE39" s="2025">
        <f>ROUND(AVERAGE(J39:J$40)/100,4)</f>
        <v>2.1899999999999999E-2</v>
      </c>
      <c r="AF39" s="2025">
        <f t="shared" si="10"/>
        <v>2.1899999999999999E-2</v>
      </c>
      <c r="AG39" s="2025">
        <f>ROUND(AVERAGE(K39:K$40)/100,4)</f>
        <v>2.9399999999999999E-2</v>
      </c>
      <c r="AH39" s="2025">
        <f>ROUND(AVERAGE(L39:L$40)/100,4)</f>
        <v>1.44E-2</v>
      </c>
    </row>
    <row r="40" spans="1:34" s="2069" customFormat="1" ht="13.8" thickBot="1">
      <c r="A40" s="2065" t="s">
        <v>117</v>
      </c>
      <c r="B40" s="2066">
        <f t="shared" si="25"/>
        <v>307.34512863658733</v>
      </c>
      <c r="C40" s="2066">
        <f t="shared" si="25"/>
        <v>257.80556031626975</v>
      </c>
      <c r="D40" s="2066">
        <f t="shared" si="20"/>
        <v>257.80556031626975</v>
      </c>
      <c r="E40" s="2066">
        <f t="shared" si="26"/>
        <v>422.70928459677179</v>
      </c>
      <c r="F40" s="2066">
        <f t="shared" si="26"/>
        <v>229.73803270336617</v>
      </c>
      <c r="G40" s="3518"/>
      <c r="H40" s="2067">
        <v>1</v>
      </c>
      <c r="I40" s="2067">
        <v>2.97</v>
      </c>
      <c r="J40" s="2067">
        <v>2.34</v>
      </c>
      <c r="K40" s="2067">
        <v>3.28</v>
      </c>
      <c r="L40" s="2068">
        <v>1.36</v>
      </c>
      <c r="N40" s="2070">
        <f t="shared" si="22"/>
        <v>2.9700000000000001E-2</v>
      </c>
      <c r="O40" s="2071">
        <f t="shared" si="18"/>
        <v>2.3399999999999997E-2</v>
      </c>
      <c r="P40" s="2071">
        <f t="shared" si="18"/>
        <v>3.2799999999999996E-2</v>
      </c>
      <c r="Q40" s="2071">
        <f t="shared" si="18"/>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 t="shared" si="10"/>
        <v>2.3399999999999997E-2</v>
      </c>
      <c r="AG40" s="2071">
        <f>K40/100</f>
        <v>3.2799999999999996E-2</v>
      </c>
      <c r="AH40" s="2071">
        <f>L40/100</f>
        <v>1.3600000000000001E-2</v>
      </c>
    </row>
    <row r="41" spans="1:34" ht="13.8" thickBot="1">
      <c r="A41" s="2037" t="s">
        <v>465</v>
      </c>
      <c r="B41" s="2046">
        <v>299</v>
      </c>
      <c r="C41" s="2046">
        <v>252</v>
      </c>
      <c r="D41" s="2046">
        <f t="shared" si="20"/>
        <v>252</v>
      </c>
      <c r="E41" s="2046">
        <v>409</v>
      </c>
      <c r="F41" s="2047">
        <v>227</v>
      </c>
      <c r="G41" s="3521">
        <v>2013</v>
      </c>
      <c r="H41" s="2076">
        <v>4</v>
      </c>
      <c r="I41" s="2076">
        <v>1.83</v>
      </c>
      <c r="J41" s="2076">
        <v>1.68</v>
      </c>
      <c r="K41" s="2076">
        <v>1.97</v>
      </c>
      <c r="L41" s="2077">
        <v>0.87</v>
      </c>
      <c r="N41" s="2056">
        <f t="shared" si="22"/>
        <v>1.83E-2</v>
      </c>
      <c r="O41" s="2057">
        <f t="shared" si="18"/>
        <v>1.6799999999999999E-2</v>
      </c>
      <c r="P41" s="2057">
        <f t="shared" si="18"/>
        <v>1.9699999999999999E-2</v>
      </c>
      <c r="Q41" s="2057">
        <f t="shared" si="18"/>
        <v>8.6999999999999994E-3</v>
      </c>
      <c r="R41" s="2041"/>
      <c r="S41" s="2050"/>
      <c r="T41" s="2051"/>
      <c r="U41" s="2051"/>
      <c r="V41" s="2051"/>
      <c r="X41" s="2051"/>
      <c r="Y41" s="2051"/>
      <c r="Z41" s="2051"/>
    </row>
    <row r="42" spans="1:34">
      <c r="A42" s="2037" t="s">
        <v>466</v>
      </c>
      <c r="B42" s="2038">
        <f t="shared" ref="B42:C44" si="27">B41/(1+N41)</f>
        <v>293.62663262299913</v>
      </c>
      <c r="C42" s="2038">
        <f t="shared" si="27"/>
        <v>247.83634933123525</v>
      </c>
      <c r="D42" s="2038">
        <f t="shared" si="20"/>
        <v>247.83634933123525</v>
      </c>
      <c r="E42" s="2038">
        <f t="shared" ref="E42:F44" si="28">E41/(1+P41)</f>
        <v>401.09836226341076</v>
      </c>
      <c r="F42" s="2038">
        <f t="shared" si="28"/>
        <v>225.04213343908003</v>
      </c>
      <c r="G42" s="3522"/>
      <c r="H42" s="2059">
        <v>3</v>
      </c>
      <c r="I42" s="2059">
        <v>1.86</v>
      </c>
      <c r="J42" s="2059">
        <v>1.72</v>
      </c>
      <c r="K42" s="2059">
        <v>1.98</v>
      </c>
      <c r="L42" s="2060">
        <v>0.88</v>
      </c>
      <c r="N42" s="2040">
        <f t="shared" si="22"/>
        <v>1.8600000000000002E-2</v>
      </c>
      <c r="O42" s="2025">
        <f t="shared" si="18"/>
        <v>1.72E-2</v>
      </c>
      <c r="P42" s="2025">
        <f t="shared" si="18"/>
        <v>1.9799999999999998E-2</v>
      </c>
      <c r="Q42" s="2025">
        <f t="shared" si="18"/>
        <v>8.8000000000000005E-3</v>
      </c>
      <c r="R42" s="2041"/>
      <c r="S42" s="2040"/>
      <c r="T42" s="2025"/>
      <c r="U42" s="2025"/>
      <c r="V42" s="2025"/>
    </row>
    <row r="43" spans="1:34">
      <c r="A43" s="2037" t="s">
        <v>467</v>
      </c>
      <c r="B43" s="2038">
        <f t="shared" si="27"/>
        <v>288.2649053828776</v>
      </c>
      <c r="C43" s="2038">
        <f t="shared" si="27"/>
        <v>243.64564425013293</v>
      </c>
      <c r="D43" s="2038">
        <f t="shared" si="20"/>
        <v>243.64564425013293</v>
      </c>
      <c r="E43" s="2038">
        <f t="shared" si="28"/>
        <v>393.31080825986544</v>
      </c>
      <c r="F43" s="2038">
        <f t="shared" si="28"/>
        <v>223.07903790551154</v>
      </c>
      <c r="G43" s="3522"/>
      <c r="H43" s="2048">
        <v>2</v>
      </c>
      <c r="I43" s="2048">
        <v>2.04</v>
      </c>
      <c r="J43" s="2048">
        <v>2.33</v>
      </c>
      <c r="K43" s="2048">
        <v>2.0699999999999998</v>
      </c>
      <c r="L43" s="2049">
        <v>0.69</v>
      </c>
      <c r="N43" s="2040">
        <f t="shared" si="22"/>
        <v>2.0400000000000001E-2</v>
      </c>
      <c r="O43" s="2025">
        <f t="shared" si="18"/>
        <v>2.3300000000000001E-2</v>
      </c>
      <c r="P43" s="2025">
        <f t="shared" si="18"/>
        <v>2.07E-2</v>
      </c>
      <c r="Q43" s="2025">
        <f t="shared" si="18"/>
        <v>6.8999999999999999E-3</v>
      </c>
      <c r="R43" s="2041"/>
      <c r="S43" s="2040"/>
      <c r="T43" s="2025"/>
      <c r="U43" s="2025"/>
      <c r="V43" s="2025"/>
      <c r="X43" s="2078"/>
      <c r="Y43" s="2079"/>
    </row>
    <row r="44" spans="1:34">
      <c r="A44" s="2037" t="s">
        <v>468</v>
      </c>
      <c r="B44" s="2038">
        <f t="shared" si="27"/>
        <v>282.50186729015837</v>
      </c>
      <c r="C44" s="2038">
        <f t="shared" si="27"/>
        <v>238.09796174155468</v>
      </c>
      <c r="D44" s="2038">
        <f t="shared" si="20"/>
        <v>238.09796174155468</v>
      </c>
      <c r="E44" s="2038">
        <f t="shared" si="28"/>
        <v>385.33438646014054</v>
      </c>
      <c r="F44" s="2038">
        <f t="shared" si="28"/>
        <v>221.55034055567739</v>
      </c>
      <c r="G44" s="3523"/>
      <c r="H44" s="2039">
        <v>1</v>
      </c>
      <c r="I44" s="2039">
        <v>1.67</v>
      </c>
      <c r="J44" s="2039">
        <v>1.31</v>
      </c>
      <c r="K44" s="2039">
        <v>1.85</v>
      </c>
      <c r="L44" s="2043">
        <v>0.96</v>
      </c>
      <c r="N44" s="2052">
        <f t="shared" si="22"/>
        <v>1.67E-2</v>
      </c>
      <c r="O44" s="2053">
        <f t="shared" si="22"/>
        <v>1.3100000000000001E-2</v>
      </c>
      <c r="P44" s="2053">
        <f t="shared" si="22"/>
        <v>1.8500000000000003E-2</v>
      </c>
      <c r="Q44" s="2053">
        <f t="shared" si="22"/>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0"/>
        <v>234</v>
      </c>
      <c r="E45" s="2080">
        <v>379</v>
      </c>
      <c r="F45" s="2081">
        <v>220</v>
      </c>
      <c r="G45" s="3516">
        <v>2012</v>
      </c>
      <c r="H45" s="2054">
        <v>4</v>
      </c>
      <c r="I45" s="2054">
        <v>0.91</v>
      </c>
      <c r="J45" s="2054">
        <v>0.68</v>
      </c>
      <c r="K45" s="2054">
        <v>0.98</v>
      </c>
      <c r="L45" s="2055">
        <v>0.9</v>
      </c>
      <c r="N45" s="2040">
        <f t="shared" si="22"/>
        <v>9.1000000000000004E-3</v>
      </c>
      <c r="O45" s="2025">
        <f t="shared" si="22"/>
        <v>6.8000000000000005E-3</v>
      </c>
      <c r="P45" s="2025">
        <f t="shared" si="22"/>
        <v>9.7999999999999997E-3</v>
      </c>
      <c r="Q45" s="2025">
        <f t="shared" si="22"/>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0"/>
        <v>232.41954707985698</v>
      </c>
      <c r="E46" s="2038">
        <f t="shared" ref="E46:F48" si="29">E45/(1+P45)</f>
        <v>375.32184591008121</v>
      </c>
      <c r="F46" s="2038">
        <f t="shared" si="29"/>
        <v>218.03766105054513</v>
      </c>
      <c r="G46" s="3517"/>
      <c r="H46" s="2059">
        <v>3</v>
      </c>
      <c r="I46" s="2059">
        <v>0.09</v>
      </c>
      <c r="J46" s="2059">
        <v>0.28999999999999998</v>
      </c>
      <c r="K46" s="2059">
        <v>-0.01</v>
      </c>
      <c r="L46" s="2060">
        <v>0.57999999999999996</v>
      </c>
      <c r="N46" s="2040">
        <f t="shared" si="22"/>
        <v>8.9999999999999998E-4</v>
      </c>
      <c r="O46" s="2025">
        <f t="shared" si="22"/>
        <v>2.8999999999999998E-3</v>
      </c>
      <c r="P46" s="2025">
        <f t="shared" si="22"/>
        <v>-1E-4</v>
      </c>
      <c r="Q46" s="2025">
        <f t="shared" si="22"/>
        <v>5.7999999999999996E-3</v>
      </c>
      <c r="R46" s="2041"/>
      <c r="S46" s="2040"/>
      <c r="T46" s="2025"/>
      <c r="U46" s="2025"/>
      <c r="V46" s="2025"/>
    </row>
    <row r="47" spans="1:34">
      <c r="A47" s="2037" t="s">
        <v>471</v>
      </c>
      <c r="B47" s="2038">
        <f>B46/(1+N46)</f>
        <v>275.24529281292263</v>
      </c>
      <c r="C47" s="2038">
        <f>C46/(1+O46)</f>
        <v>231.74747938962707</v>
      </c>
      <c r="D47" s="2038">
        <f t="shared" si="20"/>
        <v>231.74747938962707</v>
      </c>
      <c r="E47" s="2038">
        <f t="shared" si="29"/>
        <v>375.35938184826603</v>
      </c>
      <c r="F47" s="2038">
        <f t="shared" si="29"/>
        <v>216.78033510692495</v>
      </c>
      <c r="G47" s="3517"/>
      <c r="H47" s="2048">
        <v>2</v>
      </c>
      <c r="I47" s="2048">
        <v>0.02</v>
      </c>
      <c r="J47" s="2048">
        <v>0.12</v>
      </c>
      <c r="K47" s="2048">
        <v>-0.08</v>
      </c>
      <c r="L47" s="2049">
        <v>1.24</v>
      </c>
      <c r="N47" s="2040">
        <f t="shared" si="22"/>
        <v>2.0000000000000001E-4</v>
      </c>
      <c r="O47" s="2025">
        <f t="shared" si="22"/>
        <v>1.1999999999999999E-3</v>
      </c>
      <c r="P47" s="2025">
        <f t="shared" si="22"/>
        <v>-8.0000000000000004E-4</v>
      </c>
      <c r="Q47" s="2025">
        <f t="shared" si="22"/>
        <v>1.24E-2</v>
      </c>
      <c r="R47" s="2041"/>
      <c r="S47" s="2040"/>
      <c r="T47" s="2025"/>
      <c r="U47" s="2025"/>
      <c r="V47" s="2025"/>
    </row>
    <row r="48" spans="1:34" ht="13.8" thickBot="1">
      <c r="A48" s="2037" t="s">
        <v>472</v>
      </c>
      <c r="B48" s="2038">
        <f>B47/(1+N47)</f>
        <v>275.19025476197027</v>
      </c>
      <c r="C48" s="2082">
        <v>232</v>
      </c>
      <c r="D48" s="2082">
        <f t="shared" si="20"/>
        <v>232</v>
      </c>
      <c r="E48" s="2038">
        <f t="shared" si="29"/>
        <v>375.65990977608692</v>
      </c>
      <c r="F48" s="2038">
        <f t="shared" si="29"/>
        <v>214.12518283971252</v>
      </c>
      <c r="G48" s="3518"/>
      <c r="H48" s="2039">
        <v>1</v>
      </c>
      <c r="I48" s="2039">
        <v>0.02</v>
      </c>
      <c r="J48" s="2039">
        <v>0.13</v>
      </c>
      <c r="K48" s="2039">
        <v>-0.04</v>
      </c>
      <c r="L48" s="2043">
        <v>0.46</v>
      </c>
      <c r="N48" s="2040">
        <f t="shared" si="22"/>
        <v>2.0000000000000001E-4</v>
      </c>
      <c r="O48" s="2025">
        <f t="shared" si="22"/>
        <v>1.2999999999999999E-3</v>
      </c>
      <c r="P48" s="2025">
        <f t="shared" si="22"/>
        <v>-4.0000000000000002E-4</v>
      </c>
      <c r="Q48" s="2025">
        <f t="shared" si="22"/>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0"/>
        <v>232</v>
      </c>
      <c r="E49" s="2046">
        <v>376</v>
      </c>
      <c r="F49" s="2047">
        <v>213</v>
      </c>
      <c r="G49" s="3516">
        <v>2011</v>
      </c>
      <c r="H49" s="2054">
        <v>4</v>
      </c>
      <c r="I49" s="2054">
        <v>-0.2</v>
      </c>
      <c r="J49" s="2054">
        <v>0.04</v>
      </c>
      <c r="K49" s="2054">
        <v>-0.34</v>
      </c>
      <c r="L49" s="2055">
        <v>0.46</v>
      </c>
      <c r="N49" s="2056">
        <f t="shared" si="22"/>
        <v>-2E-3</v>
      </c>
      <c r="O49" s="2057">
        <f t="shared" si="22"/>
        <v>4.0000000000000002E-4</v>
      </c>
      <c r="P49" s="2057">
        <f t="shared" si="22"/>
        <v>-3.4000000000000002E-3</v>
      </c>
      <c r="Q49" s="2057">
        <f t="shared" si="22"/>
        <v>4.5999999999999999E-3</v>
      </c>
      <c r="R49" s="2041"/>
      <c r="S49" s="2050"/>
      <c r="T49" s="2051"/>
      <c r="U49" s="2051"/>
      <c r="V49" s="2051"/>
      <c r="X49" s="2051"/>
      <c r="Y49" s="2051"/>
      <c r="Z49" s="2051"/>
    </row>
    <row r="50" spans="1:26">
      <c r="A50" s="2037" t="s">
        <v>474</v>
      </c>
      <c r="B50" s="2038">
        <f t="shared" ref="B50:C52" si="30">B49/(1+N49)</f>
        <v>275.55110220440883</v>
      </c>
      <c r="C50" s="2038">
        <f t="shared" si="30"/>
        <v>231.90723710515795</v>
      </c>
      <c r="D50" s="2038">
        <f t="shared" si="20"/>
        <v>231.90723710515795</v>
      </c>
      <c r="E50" s="2038">
        <f t="shared" ref="E50:F52" si="31">E49/(1+P49)</f>
        <v>377.28276138872161</v>
      </c>
      <c r="F50" s="2038">
        <f t="shared" si="31"/>
        <v>212.02468644236512</v>
      </c>
      <c r="G50" s="3517">
        <v>2011</v>
      </c>
      <c r="H50" s="2059">
        <v>3</v>
      </c>
      <c r="I50" s="2059">
        <v>0.13</v>
      </c>
      <c r="J50" s="2059">
        <v>0.75</v>
      </c>
      <c r="K50" s="2059">
        <v>-0.08</v>
      </c>
      <c r="L50" s="2060">
        <v>0.53</v>
      </c>
      <c r="N50" s="2040">
        <f t="shared" si="22"/>
        <v>1.2999999999999999E-3</v>
      </c>
      <c r="O50" s="2025">
        <f t="shared" si="22"/>
        <v>7.4999999999999997E-3</v>
      </c>
      <c r="P50" s="2025">
        <f t="shared" si="22"/>
        <v>-8.0000000000000004E-4</v>
      </c>
      <c r="Q50" s="2025">
        <f t="shared" si="22"/>
        <v>5.3E-3</v>
      </c>
      <c r="R50" s="2041"/>
      <c r="S50" s="2040"/>
      <c r="T50" s="2025"/>
      <c r="U50" s="2025"/>
      <c r="V50" s="2025"/>
    </row>
    <row r="51" spans="1:26">
      <c r="A51" s="2037" t="s">
        <v>475</v>
      </c>
      <c r="B51" s="2038">
        <f t="shared" si="30"/>
        <v>275.19335084830601</v>
      </c>
      <c r="C51" s="2038">
        <f t="shared" si="30"/>
        <v>230.18088050139744</v>
      </c>
      <c r="D51" s="2038">
        <f t="shared" si="20"/>
        <v>230.18088050139744</v>
      </c>
      <c r="E51" s="2038">
        <f t="shared" si="31"/>
        <v>377.58482925212331</v>
      </c>
      <c r="F51" s="2038">
        <f t="shared" si="31"/>
        <v>210.90687997847917</v>
      </c>
      <c r="G51" s="3517">
        <v>2011</v>
      </c>
      <c r="H51" s="2048">
        <v>2</v>
      </c>
      <c r="I51" s="2048">
        <v>-0.4</v>
      </c>
      <c r="J51" s="2048">
        <v>0.17</v>
      </c>
      <c r="K51" s="2048">
        <v>-0.57999999999999996</v>
      </c>
      <c r="L51" s="2049">
        <v>-0.2</v>
      </c>
      <c r="N51" s="2040">
        <f t="shared" si="22"/>
        <v>-4.0000000000000001E-3</v>
      </c>
      <c r="O51" s="2025">
        <f t="shared" si="22"/>
        <v>1.7000000000000001E-3</v>
      </c>
      <c r="P51" s="2025">
        <f t="shared" si="22"/>
        <v>-5.7999999999999996E-3</v>
      </c>
      <c r="Q51" s="2025">
        <f t="shared" si="22"/>
        <v>-2E-3</v>
      </c>
      <c r="R51" s="2041"/>
      <c r="S51" s="2040"/>
      <c r="T51" s="2025"/>
      <c r="U51" s="2025"/>
      <c r="V51" s="2025"/>
    </row>
    <row r="52" spans="1:26" ht="13.8" thickBot="1">
      <c r="A52" s="2037" t="s">
        <v>476</v>
      </c>
      <c r="B52" s="2038">
        <f t="shared" si="30"/>
        <v>276.29854502841971</v>
      </c>
      <c r="C52" s="2038">
        <f t="shared" si="30"/>
        <v>229.79023709833027</v>
      </c>
      <c r="D52" s="2038">
        <f t="shared" si="20"/>
        <v>229.79023709833027</v>
      </c>
      <c r="E52" s="2038">
        <f t="shared" si="31"/>
        <v>379.78759731655936</v>
      </c>
      <c r="F52" s="2038">
        <f t="shared" si="31"/>
        <v>211.32953905659235</v>
      </c>
      <c r="G52" s="3518">
        <v>2011</v>
      </c>
      <c r="H52" s="2039">
        <v>1</v>
      </c>
      <c r="I52" s="2039">
        <v>2.65</v>
      </c>
      <c r="J52" s="2039">
        <v>3.76</v>
      </c>
      <c r="K52" s="2039">
        <v>1.89</v>
      </c>
      <c r="L52" s="2043">
        <v>7.95</v>
      </c>
      <c r="N52" s="2052">
        <f t="shared" si="22"/>
        <v>2.6499999999999999E-2</v>
      </c>
      <c r="O52" s="2053">
        <f t="shared" si="22"/>
        <v>3.7599999999999995E-2</v>
      </c>
      <c r="P52" s="2053">
        <f t="shared" si="22"/>
        <v>1.89E-2</v>
      </c>
      <c r="Q52" s="2053">
        <f t="shared" si="22"/>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0"/>
        <v>221</v>
      </c>
      <c r="E53" s="2046">
        <v>373</v>
      </c>
      <c r="F53" s="2047">
        <v>196</v>
      </c>
      <c r="G53" s="3516">
        <v>2010</v>
      </c>
      <c r="H53" s="2054">
        <v>4</v>
      </c>
      <c r="I53" s="2054">
        <v>5.72</v>
      </c>
      <c r="J53" s="2054">
        <v>6.57</v>
      </c>
      <c r="K53" s="2054">
        <v>5.72</v>
      </c>
      <c r="L53" s="2055">
        <v>2.72</v>
      </c>
      <c r="N53" s="2040">
        <f t="shared" si="22"/>
        <v>5.7200000000000001E-2</v>
      </c>
      <c r="O53" s="2025">
        <f t="shared" si="22"/>
        <v>6.5700000000000008E-2</v>
      </c>
      <c r="P53" s="2025">
        <f t="shared" si="22"/>
        <v>5.7200000000000001E-2</v>
      </c>
      <c r="Q53" s="2025">
        <f t="shared" si="22"/>
        <v>2.7200000000000002E-2</v>
      </c>
      <c r="R53" s="2041"/>
      <c r="S53" s="2050"/>
      <c r="T53" s="2051"/>
      <c r="U53" s="2051"/>
      <c r="V53" s="2051"/>
      <c r="X53" s="2051"/>
      <c r="Y53" s="2051"/>
      <c r="Z53" s="2051"/>
    </row>
    <row r="54" spans="1:26">
      <c r="A54" s="2037" t="s">
        <v>478</v>
      </c>
      <c r="B54" s="2038">
        <f t="shared" ref="B54:C56" si="32">B53/(1+N53)</f>
        <v>254.44570563753314</v>
      </c>
      <c r="C54" s="2038">
        <f t="shared" si="32"/>
        <v>207.37543398705074</v>
      </c>
      <c r="D54" s="2038">
        <f t="shared" si="20"/>
        <v>207.37543398705074</v>
      </c>
      <c r="E54" s="2038">
        <f t="shared" ref="E54:F56" si="33">E53/(1+P53)</f>
        <v>352.81876655315932</v>
      </c>
      <c r="F54" s="2038">
        <f t="shared" si="33"/>
        <v>190.809968847352</v>
      </c>
      <c r="G54" s="3517">
        <v>2010</v>
      </c>
      <c r="H54" s="2059">
        <v>3</v>
      </c>
      <c r="I54" s="2059">
        <v>4.7300000000000004</v>
      </c>
      <c r="J54" s="2059">
        <v>3.9</v>
      </c>
      <c r="K54" s="2059">
        <v>5.03</v>
      </c>
      <c r="L54" s="2060">
        <v>4.21</v>
      </c>
      <c r="N54" s="2040">
        <f t="shared" si="22"/>
        <v>4.7300000000000002E-2</v>
      </c>
      <c r="O54" s="2025">
        <f t="shared" si="22"/>
        <v>3.9E-2</v>
      </c>
      <c r="P54" s="2025">
        <f t="shared" si="22"/>
        <v>5.0300000000000004E-2</v>
      </c>
      <c r="Q54" s="2025">
        <f t="shared" si="22"/>
        <v>4.2099999999999999E-2</v>
      </c>
      <c r="R54" s="2041"/>
      <c r="S54" s="2040"/>
      <c r="T54" s="2025"/>
      <c r="U54" s="2025"/>
      <c r="V54" s="2025"/>
    </row>
    <row r="55" spans="1:26">
      <c r="A55" s="2037" t="s">
        <v>479</v>
      </c>
      <c r="B55" s="2038">
        <f t="shared" si="32"/>
        <v>242.95398227588385</v>
      </c>
      <c r="C55" s="2038">
        <f t="shared" si="32"/>
        <v>199.59137053614126</v>
      </c>
      <c r="D55" s="2038">
        <f t="shared" si="20"/>
        <v>199.59137053614126</v>
      </c>
      <c r="E55" s="2038">
        <f t="shared" si="33"/>
        <v>335.92189522342125</v>
      </c>
      <c r="F55" s="2038">
        <f t="shared" si="33"/>
        <v>183.10139991109489</v>
      </c>
      <c r="G55" s="3517">
        <v>2010</v>
      </c>
      <c r="H55" s="2048">
        <v>2</v>
      </c>
      <c r="I55" s="2048">
        <v>4.6900000000000004</v>
      </c>
      <c r="J55" s="2048">
        <v>3.55</v>
      </c>
      <c r="K55" s="2048">
        <v>5.07</v>
      </c>
      <c r="L55" s="2049">
        <v>4.2300000000000004</v>
      </c>
      <c r="N55" s="2040">
        <f t="shared" si="22"/>
        <v>4.6900000000000004E-2</v>
      </c>
      <c r="O55" s="2025">
        <f t="shared" si="22"/>
        <v>3.5499999999999997E-2</v>
      </c>
      <c r="P55" s="2025">
        <f t="shared" si="22"/>
        <v>5.0700000000000002E-2</v>
      </c>
      <c r="Q55" s="2025">
        <f t="shared" si="22"/>
        <v>4.2300000000000004E-2</v>
      </c>
      <c r="R55" s="2041"/>
      <c r="S55" s="2040"/>
      <c r="T55" s="2025"/>
      <c r="U55" s="2025"/>
      <c r="V55" s="2025"/>
    </row>
    <row r="56" spans="1:26" ht="13.8" thickBot="1">
      <c r="A56" s="2037" t="s">
        <v>480</v>
      </c>
      <c r="B56" s="2038">
        <f t="shared" si="32"/>
        <v>232.06990378821649</v>
      </c>
      <c r="C56" s="2038">
        <f t="shared" si="32"/>
        <v>192.74878854286936</v>
      </c>
      <c r="D56" s="2038">
        <f t="shared" si="20"/>
        <v>192.74878854286936</v>
      </c>
      <c r="E56" s="2038">
        <f t="shared" si="33"/>
        <v>319.71247284992984</v>
      </c>
      <c r="F56" s="2038">
        <f t="shared" si="33"/>
        <v>175.67053622862409</v>
      </c>
      <c r="G56" s="3518">
        <v>2010</v>
      </c>
      <c r="H56" s="2039">
        <v>1</v>
      </c>
      <c r="I56" s="2039">
        <v>5.4</v>
      </c>
      <c r="J56" s="2039">
        <v>3.2</v>
      </c>
      <c r="K56" s="2039">
        <v>6.16</v>
      </c>
      <c r="L56" s="2043">
        <v>4.51</v>
      </c>
      <c r="N56" s="2040">
        <f t="shared" si="22"/>
        <v>5.4000000000000006E-2</v>
      </c>
      <c r="O56" s="2025">
        <f t="shared" si="22"/>
        <v>3.2000000000000001E-2</v>
      </c>
      <c r="P56" s="2025">
        <f t="shared" si="22"/>
        <v>6.1600000000000002E-2</v>
      </c>
      <c r="Q56" s="2025">
        <f t="shared" si="22"/>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0"/>
        <v>187</v>
      </c>
      <c r="E57" s="2046">
        <v>301</v>
      </c>
      <c r="F57" s="2047">
        <v>168</v>
      </c>
      <c r="G57" s="3516">
        <v>2009</v>
      </c>
      <c r="H57" s="2054">
        <v>4</v>
      </c>
      <c r="I57" s="2054">
        <v>2.2999999999999998</v>
      </c>
      <c r="J57" s="2054">
        <v>1.04</v>
      </c>
      <c r="K57" s="2054">
        <v>2.84</v>
      </c>
      <c r="L57" s="2055">
        <v>0.67</v>
      </c>
      <c r="N57" s="2056">
        <f t="shared" si="22"/>
        <v>2.3E-2</v>
      </c>
      <c r="O57" s="2057">
        <f t="shared" si="22"/>
        <v>1.04E-2</v>
      </c>
      <c r="P57" s="2057">
        <f t="shared" si="22"/>
        <v>2.8399999999999998E-2</v>
      </c>
      <c r="Q57" s="2057">
        <f t="shared" si="22"/>
        <v>6.7000000000000002E-3</v>
      </c>
      <c r="R57" s="2041"/>
      <c r="S57" s="2050"/>
      <c r="T57" s="2051"/>
      <c r="U57" s="2051"/>
      <c r="V57" s="2051"/>
      <c r="X57" s="2051"/>
      <c r="Y57" s="2051"/>
      <c r="Z57" s="2051"/>
    </row>
    <row r="58" spans="1:26">
      <c r="A58" s="2037" t="s">
        <v>482</v>
      </c>
      <c r="B58" s="2038">
        <f t="shared" ref="B58:C60" si="34">B57/(1+N57)</f>
        <v>215.05376344086022</v>
      </c>
      <c r="C58" s="2038">
        <f t="shared" si="34"/>
        <v>185.0752177355503</v>
      </c>
      <c r="D58" s="2038">
        <f t="shared" si="20"/>
        <v>185.0752177355503</v>
      </c>
      <c r="E58" s="2038">
        <f t="shared" ref="E58:F60" si="35">E57/(1+P57)</f>
        <v>292.68767016725008</v>
      </c>
      <c r="F58" s="2038">
        <f t="shared" si="35"/>
        <v>166.88189132810174</v>
      </c>
      <c r="G58" s="3517">
        <v>2009</v>
      </c>
      <c r="H58" s="2059">
        <v>3</v>
      </c>
      <c r="I58" s="2059">
        <v>2.1</v>
      </c>
      <c r="J58" s="2059">
        <v>1.86</v>
      </c>
      <c r="K58" s="2059">
        <v>2.29</v>
      </c>
      <c r="L58" s="2060">
        <v>0.85</v>
      </c>
      <c r="N58" s="2040">
        <f t="shared" si="22"/>
        <v>2.1000000000000001E-2</v>
      </c>
      <c r="O58" s="2025">
        <f t="shared" si="22"/>
        <v>1.8600000000000002E-2</v>
      </c>
      <c r="P58" s="2025">
        <f t="shared" si="22"/>
        <v>2.29E-2</v>
      </c>
      <c r="Q58" s="2025">
        <f t="shared" si="22"/>
        <v>8.5000000000000006E-3</v>
      </c>
      <c r="R58" s="2041"/>
      <c r="S58" s="2040"/>
      <c r="T58" s="2025"/>
      <c r="U58" s="2025"/>
      <c r="V58" s="2025"/>
    </row>
    <row r="59" spans="1:26">
      <c r="A59" s="2037" t="s">
        <v>483</v>
      </c>
      <c r="B59" s="2038">
        <f t="shared" si="34"/>
        <v>210.630522469011</v>
      </c>
      <c r="C59" s="2038">
        <f t="shared" si="34"/>
        <v>181.69567812247232</v>
      </c>
      <c r="D59" s="2038">
        <f t="shared" si="20"/>
        <v>181.69567812247232</v>
      </c>
      <c r="E59" s="2038">
        <f t="shared" si="35"/>
        <v>286.13517466736738</v>
      </c>
      <c r="F59" s="2038">
        <f t="shared" si="35"/>
        <v>165.47535084591149</v>
      </c>
      <c r="G59" s="3517">
        <v>2009</v>
      </c>
      <c r="H59" s="2048">
        <v>2</v>
      </c>
      <c r="I59" s="2048">
        <v>0.86</v>
      </c>
      <c r="J59" s="2048">
        <v>-1.1299999999999999</v>
      </c>
      <c r="K59" s="2048">
        <v>1.79</v>
      </c>
      <c r="L59" s="2049">
        <v>-2.0699999999999998</v>
      </c>
      <c r="N59" s="2040">
        <f t="shared" si="22"/>
        <v>8.6E-3</v>
      </c>
      <c r="O59" s="2025">
        <f t="shared" si="22"/>
        <v>-1.1299999999999999E-2</v>
      </c>
      <c r="P59" s="2025">
        <f t="shared" si="22"/>
        <v>1.7899999999999999E-2</v>
      </c>
      <c r="Q59" s="2025">
        <f t="shared" si="22"/>
        <v>-2.07E-2</v>
      </c>
      <c r="R59" s="2041"/>
      <c r="S59" s="2040"/>
      <c r="T59" s="2025"/>
      <c r="U59" s="2025"/>
      <c r="V59" s="2025"/>
    </row>
    <row r="60" spans="1:26">
      <c r="A60" s="2037" t="s">
        <v>484</v>
      </c>
      <c r="B60" s="2038">
        <f t="shared" si="34"/>
        <v>208.83454537875372</v>
      </c>
      <c r="C60" s="2038">
        <f t="shared" si="34"/>
        <v>183.77230517090351</v>
      </c>
      <c r="D60" s="2038">
        <f t="shared" si="20"/>
        <v>183.77230517090351</v>
      </c>
      <c r="E60" s="2038">
        <f t="shared" si="35"/>
        <v>281.10342338870947</v>
      </c>
      <c r="F60" s="2038">
        <f t="shared" si="35"/>
        <v>168.97309388942256</v>
      </c>
      <c r="G60" s="3518">
        <v>2009</v>
      </c>
      <c r="H60" s="2039">
        <v>1</v>
      </c>
      <c r="I60" s="2039">
        <v>-2.64</v>
      </c>
      <c r="J60" s="2039">
        <v>-2.5299999999999998</v>
      </c>
      <c r="K60" s="2039">
        <v>-3.02</v>
      </c>
      <c r="L60" s="2043">
        <v>1.52</v>
      </c>
      <c r="N60" s="2052">
        <f t="shared" si="22"/>
        <v>-2.64E-2</v>
      </c>
      <c r="O60" s="2053">
        <f t="shared" si="22"/>
        <v>-2.53E-2</v>
      </c>
      <c r="P60" s="2053">
        <f t="shared" si="22"/>
        <v>-3.0200000000000001E-2</v>
      </c>
      <c r="Q60" s="2053">
        <f t="shared" si="22"/>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0"/>
        <v>188</v>
      </c>
      <c r="E61" s="2080">
        <v>289</v>
      </c>
      <c r="F61" s="2081">
        <v>166</v>
      </c>
      <c r="G61" s="3516">
        <v>2008</v>
      </c>
      <c r="H61" s="2054">
        <v>4</v>
      </c>
      <c r="I61" s="2054">
        <v>1.73</v>
      </c>
      <c r="J61" s="2054">
        <v>0.03</v>
      </c>
      <c r="K61" s="2054">
        <v>2.59</v>
      </c>
      <c r="L61" s="2055">
        <v>-1.66</v>
      </c>
      <c r="N61" s="2040">
        <f t="shared" si="22"/>
        <v>1.7299999999999999E-2</v>
      </c>
      <c r="O61" s="2025">
        <f t="shared" si="22"/>
        <v>2.9999999999999997E-4</v>
      </c>
      <c r="P61" s="2025">
        <f t="shared" si="22"/>
        <v>2.5899999999999999E-2</v>
      </c>
      <c r="Q61" s="2025">
        <f t="shared" si="22"/>
        <v>-1.66E-2</v>
      </c>
      <c r="R61" s="2041"/>
      <c r="S61" s="2050"/>
      <c r="T61" s="2051"/>
      <c r="U61" s="2051"/>
      <c r="V61" s="2051"/>
      <c r="X61" s="2051"/>
      <c r="Y61" s="2051"/>
      <c r="Z61" s="2051"/>
    </row>
    <row r="62" spans="1:26">
      <c r="A62" s="2037" t="s">
        <v>486</v>
      </c>
      <c r="B62" s="2038">
        <f t="shared" ref="B62:C64" si="36">B61/(1+N61)</f>
        <v>210.36075887152265</v>
      </c>
      <c r="C62" s="2038">
        <f t="shared" si="36"/>
        <v>187.94361691492554</v>
      </c>
      <c r="D62" s="2038">
        <f t="shared" si="20"/>
        <v>187.94361691492554</v>
      </c>
      <c r="E62" s="2038">
        <f t="shared" ref="E62:F64" si="37">E61/(1+P61)</f>
        <v>281.70386977288234</v>
      </c>
      <c r="F62" s="2038">
        <f t="shared" si="37"/>
        <v>168.80211511083994</v>
      </c>
      <c r="G62" s="3517">
        <v>2008</v>
      </c>
      <c r="H62" s="2059">
        <v>3</v>
      </c>
      <c r="I62" s="2059">
        <v>1.96</v>
      </c>
      <c r="J62" s="2059">
        <v>2.36</v>
      </c>
      <c r="K62" s="2059">
        <v>1.82</v>
      </c>
      <c r="L62" s="2060">
        <v>2.2200000000000002</v>
      </c>
      <c r="N62" s="2040">
        <f t="shared" si="22"/>
        <v>1.9599999999999999E-2</v>
      </c>
      <c r="O62" s="2025">
        <f t="shared" si="22"/>
        <v>2.3599999999999999E-2</v>
      </c>
      <c r="P62" s="2025">
        <f t="shared" si="22"/>
        <v>1.8200000000000001E-2</v>
      </c>
      <c r="Q62" s="2025">
        <f t="shared" si="22"/>
        <v>2.2200000000000001E-2</v>
      </c>
      <c r="R62" s="2041"/>
      <c r="S62" s="2040"/>
      <c r="T62" s="2025"/>
      <c r="U62" s="2025"/>
      <c r="V62" s="2025"/>
    </row>
    <row r="63" spans="1:26">
      <c r="A63" s="2037" t="s">
        <v>487</v>
      </c>
      <c r="B63" s="2038">
        <f t="shared" si="36"/>
        <v>206.31694671589116</v>
      </c>
      <c r="C63" s="2038">
        <f t="shared" si="36"/>
        <v>183.61041121036101</v>
      </c>
      <c r="D63" s="2038">
        <f t="shared" si="20"/>
        <v>183.61041121036101</v>
      </c>
      <c r="E63" s="2038">
        <f t="shared" si="37"/>
        <v>276.66850301795557</v>
      </c>
      <c r="F63" s="2038">
        <f t="shared" si="37"/>
        <v>165.1360938278614</v>
      </c>
      <c r="G63" s="3517">
        <v>2008</v>
      </c>
      <c r="H63" s="2048">
        <v>2</v>
      </c>
      <c r="I63" s="2048">
        <v>4.93</v>
      </c>
      <c r="J63" s="2048">
        <v>7.38</v>
      </c>
      <c r="K63" s="2048">
        <v>3.98</v>
      </c>
      <c r="L63" s="2049">
        <v>6.86</v>
      </c>
      <c r="N63" s="2040">
        <f t="shared" si="22"/>
        <v>4.9299999999999997E-2</v>
      </c>
      <c r="O63" s="2025">
        <f t="shared" si="22"/>
        <v>7.3800000000000004E-2</v>
      </c>
      <c r="P63" s="2025">
        <f t="shared" si="22"/>
        <v>3.9800000000000002E-2</v>
      </c>
      <c r="Q63" s="2025">
        <f t="shared" si="22"/>
        <v>6.8600000000000008E-2</v>
      </c>
      <c r="R63" s="2041"/>
      <c r="S63" s="2040"/>
      <c r="T63" s="2025"/>
      <c r="U63" s="2025"/>
      <c r="V63" s="2025"/>
    </row>
    <row r="64" spans="1:26" s="2086" customFormat="1" ht="13.8" thickBot="1">
      <c r="A64" s="2037" t="s">
        <v>488</v>
      </c>
      <c r="B64" s="2083">
        <f t="shared" si="36"/>
        <v>196.62341248059772</v>
      </c>
      <c r="C64" s="2083">
        <f t="shared" si="36"/>
        <v>170.99125648199012</v>
      </c>
      <c r="D64" s="2083">
        <f t="shared" si="20"/>
        <v>170.99125648199012</v>
      </c>
      <c r="E64" s="2083">
        <f t="shared" si="37"/>
        <v>266.07857570490052</v>
      </c>
      <c r="F64" s="2083">
        <f t="shared" si="37"/>
        <v>154.53499328828505</v>
      </c>
      <c r="G64" s="3518">
        <v>2008</v>
      </c>
      <c r="H64" s="2084">
        <v>1</v>
      </c>
      <c r="I64" s="2084">
        <v>4.1399999999999997</v>
      </c>
      <c r="J64" s="2084">
        <v>3.45</v>
      </c>
      <c r="K64" s="2084">
        <v>4.95</v>
      </c>
      <c r="L64" s="2085">
        <v>4.82</v>
      </c>
      <c r="N64" s="2087">
        <f t="shared" si="22"/>
        <v>4.1399999999999999E-2</v>
      </c>
      <c r="O64" s="2088">
        <f t="shared" si="22"/>
        <v>3.4500000000000003E-2</v>
      </c>
      <c r="P64" s="2088">
        <f t="shared" si="22"/>
        <v>4.9500000000000002E-2</v>
      </c>
      <c r="Q64" s="2088">
        <f t="shared" si="22"/>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0"/>
        <v>165</v>
      </c>
      <c r="E65" s="2046">
        <v>254</v>
      </c>
      <c r="F65" s="2047">
        <v>148</v>
      </c>
      <c r="G65" s="3516">
        <v>2007</v>
      </c>
      <c r="H65" s="2090">
        <v>4</v>
      </c>
      <c r="I65" s="2090">
        <v>5.51</v>
      </c>
      <c r="J65" s="2090">
        <v>4.8899999999999997</v>
      </c>
      <c r="K65" s="2090">
        <v>6.43</v>
      </c>
      <c r="L65" s="2091">
        <v>5.36</v>
      </c>
      <c r="N65" s="2092">
        <f t="shared" ref="N65:O68" si="38">B65/B66-1</f>
        <v>4.1339718365245526E-2</v>
      </c>
      <c r="O65" s="2093">
        <f t="shared" si="38"/>
        <v>4.0324492593776018E-2</v>
      </c>
      <c r="P65" s="2093">
        <f t="shared" ref="P65:Q68" si="39">E65/E66-1</f>
        <v>6.1625555347990968E-2</v>
      </c>
      <c r="Q65" s="2093">
        <f t="shared" si="39"/>
        <v>4.6757569250590603E-2</v>
      </c>
      <c r="R65" s="2041"/>
      <c r="S65" s="2050"/>
      <c r="T65" s="2051"/>
      <c r="U65" s="2051"/>
      <c r="V65" s="2051"/>
      <c r="X65" s="2051"/>
      <c r="Y65" s="2051"/>
      <c r="Z65" s="2051"/>
    </row>
    <row r="66" spans="1:26">
      <c r="A66" s="2037" t="s">
        <v>490</v>
      </c>
      <c r="B66" s="2038">
        <f t="shared" ref="B66:C68" si="40">B67+(B$65-B$69)*I66/SUM(I$65:I$68)</f>
        <v>180.5366651097618</v>
      </c>
      <c r="C66" s="2038">
        <f t="shared" si="40"/>
        <v>158.60435967302453</v>
      </c>
      <c r="D66" s="2038">
        <f t="shared" si="20"/>
        <v>158.60435967302453</v>
      </c>
      <c r="E66" s="2038">
        <f t="shared" ref="E66:F68" si="41">E67+(E$65-E$69)*K66/SUM(K$65:K$68)</f>
        <v>239.25573260785075</v>
      </c>
      <c r="F66" s="2038">
        <f t="shared" si="41"/>
        <v>141.38899430740037</v>
      </c>
      <c r="G66" s="3517">
        <v>2007</v>
      </c>
      <c r="H66" s="2059">
        <v>3</v>
      </c>
      <c r="I66" s="2059">
        <v>8.65</v>
      </c>
      <c r="J66" s="2059">
        <v>8.06</v>
      </c>
      <c r="K66" s="2059">
        <v>9.94</v>
      </c>
      <c r="L66" s="2060">
        <v>5.8</v>
      </c>
      <c r="N66" s="2092">
        <f t="shared" si="38"/>
        <v>6.940217571740015E-2</v>
      </c>
      <c r="O66" s="2093">
        <f t="shared" si="38"/>
        <v>7.1197482471153428E-2</v>
      </c>
      <c r="P66" s="2093">
        <f t="shared" si="39"/>
        <v>0.10529679922579582</v>
      </c>
      <c r="Q66" s="2093">
        <f t="shared" si="39"/>
        <v>5.3292245059512133E-2</v>
      </c>
      <c r="R66" s="2041"/>
      <c r="S66" s="2040"/>
      <c r="T66" s="2025"/>
      <c r="U66" s="2025"/>
      <c r="V66" s="2025"/>
      <c r="X66" s="2094"/>
      <c r="Y66" s="2094"/>
      <c r="Z66" s="2094"/>
    </row>
    <row r="67" spans="1:26">
      <c r="A67" s="2037" t="s">
        <v>491</v>
      </c>
      <c r="B67" s="2038">
        <f t="shared" si="40"/>
        <v>168.82017748715555</v>
      </c>
      <c r="C67" s="2038">
        <f t="shared" si="40"/>
        <v>148.06267029972753</v>
      </c>
      <c r="D67" s="2038">
        <f t="shared" si="20"/>
        <v>148.06267029972753</v>
      </c>
      <c r="E67" s="2038">
        <f t="shared" si="41"/>
        <v>216.46288379323747</v>
      </c>
      <c r="F67" s="2038">
        <f t="shared" si="41"/>
        <v>134.23529411764704</v>
      </c>
      <c r="G67" s="3517">
        <v>2007</v>
      </c>
      <c r="H67" s="2048">
        <v>2</v>
      </c>
      <c r="I67" s="2048">
        <v>3.67</v>
      </c>
      <c r="J67" s="2048">
        <v>2.3199999999999998</v>
      </c>
      <c r="K67" s="2048">
        <v>5.0199999999999996</v>
      </c>
      <c r="L67" s="2049">
        <v>6.71</v>
      </c>
      <c r="N67" s="2092">
        <f t="shared" si="38"/>
        <v>3.0339138143848032E-2</v>
      </c>
      <c r="O67" s="2093">
        <f t="shared" si="38"/>
        <v>2.0922341588790472E-2</v>
      </c>
      <c r="P67" s="2093">
        <f t="shared" si="39"/>
        <v>5.6164796592717003E-2</v>
      </c>
      <c r="Q67" s="2093">
        <f t="shared" si="39"/>
        <v>6.5704536723887319E-2</v>
      </c>
      <c r="R67" s="2041"/>
      <c r="S67" s="2040"/>
      <c r="T67" s="2025"/>
      <c r="U67" s="2025"/>
      <c r="V67" s="2025"/>
      <c r="X67" s="2094"/>
      <c r="Y67" s="2094"/>
      <c r="Z67" s="2094"/>
    </row>
    <row r="68" spans="1:26">
      <c r="A68" s="2037" t="s">
        <v>492</v>
      </c>
      <c r="B68" s="2038">
        <f t="shared" si="40"/>
        <v>163.84913591779542</v>
      </c>
      <c r="C68" s="2038">
        <f t="shared" si="40"/>
        <v>145.0283378746594</v>
      </c>
      <c r="D68" s="2038">
        <f t="shared" si="20"/>
        <v>145.0283378746594</v>
      </c>
      <c r="E68" s="2038">
        <f t="shared" si="41"/>
        <v>204.95180722891567</v>
      </c>
      <c r="F68" s="2038">
        <f t="shared" si="41"/>
        <v>125.95920303605313</v>
      </c>
      <c r="G68" s="3518">
        <v>2007</v>
      </c>
      <c r="H68" s="2039">
        <v>1</v>
      </c>
      <c r="I68" s="2039">
        <v>3.58</v>
      </c>
      <c r="J68" s="2039">
        <v>3.08</v>
      </c>
      <c r="K68" s="2039">
        <v>4.34</v>
      </c>
      <c r="L68" s="2043">
        <v>3.21</v>
      </c>
      <c r="N68" s="2095">
        <f t="shared" si="38"/>
        <v>3.0497710174814063E-2</v>
      </c>
      <c r="O68" s="2096">
        <f t="shared" si="38"/>
        <v>2.8569772160704998E-2</v>
      </c>
      <c r="P68" s="2096">
        <f t="shared" si="39"/>
        <v>5.1034908866234296E-2</v>
      </c>
      <c r="Q68" s="2096">
        <f t="shared" si="39"/>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0"/>
        <v>141</v>
      </c>
      <c r="E69" s="2061">
        <v>195</v>
      </c>
      <c r="F69" s="2062">
        <v>122</v>
      </c>
      <c r="G69" s="3516">
        <v>2006</v>
      </c>
      <c r="H69" s="2054">
        <v>4</v>
      </c>
      <c r="I69" s="2054">
        <v>3.79</v>
      </c>
      <c r="J69" s="2054">
        <v>2.21</v>
      </c>
      <c r="K69" s="2054">
        <v>5.65</v>
      </c>
      <c r="L69" s="2055">
        <v>5.41</v>
      </c>
      <c r="N69" s="2092">
        <f t="shared" ref="N69:O72" si="42">I69/SUM(I$69:I$72)*(B$69/B$73-1)</f>
        <v>7.245466462748526E-2</v>
      </c>
      <c r="O69" s="2093">
        <f t="shared" si="42"/>
        <v>2.3237230038062766E-2</v>
      </c>
      <c r="P69" s="2093">
        <f t="shared" ref="P69:Q72" si="43">K69/SUM(K$69:K$72)*(E$69/E$73-1)</f>
        <v>0.16146893866323722</v>
      </c>
      <c r="Q69" s="2093">
        <f t="shared" si="43"/>
        <v>5.0755230321793784E-2</v>
      </c>
      <c r="R69" s="2041"/>
      <c r="S69" s="2050"/>
      <c r="T69" s="2051"/>
      <c r="U69" s="2051"/>
      <c r="V69" s="2051"/>
      <c r="X69" s="2094"/>
      <c r="Y69" s="2094"/>
      <c r="Z69" s="2094"/>
    </row>
    <row r="70" spans="1:26">
      <c r="A70" s="2037" t="s">
        <v>494</v>
      </c>
      <c r="B70" s="2038">
        <f t="shared" ref="B70:C72" si="44">B71+(B$69-B$73)*I70/SUM(I$69:I$72)</f>
        <v>149.00125628140702</v>
      </c>
      <c r="C70" s="2038">
        <f t="shared" si="44"/>
        <v>137.95592286501378</v>
      </c>
      <c r="D70" s="2038">
        <f t="shared" si="20"/>
        <v>137.95592286501378</v>
      </c>
      <c r="E70" s="2038">
        <f t="shared" ref="E70:F72" si="45">E71+(E$69-E$73)*K70/SUM(K$69:K$72)</f>
        <v>169.97231450719823</v>
      </c>
      <c r="F70" s="2038">
        <f t="shared" si="45"/>
        <v>116.21390374331551</v>
      </c>
      <c r="G70" s="3517">
        <v>2006</v>
      </c>
      <c r="H70" s="2059">
        <v>3</v>
      </c>
      <c r="I70" s="2059">
        <v>0.92</v>
      </c>
      <c r="J70" s="2059">
        <v>1.08</v>
      </c>
      <c r="K70" s="2059">
        <v>0.73</v>
      </c>
      <c r="L70" s="2060">
        <v>1.08</v>
      </c>
      <c r="N70" s="2092">
        <f t="shared" si="42"/>
        <v>1.7587939698492462E-2</v>
      </c>
      <c r="O70" s="2093">
        <f t="shared" si="42"/>
        <v>1.1355750425840628E-2</v>
      </c>
      <c r="P70" s="2093">
        <f t="shared" si="43"/>
        <v>2.0862358446754544E-2</v>
      </c>
      <c r="Q70" s="2093">
        <f t="shared" si="43"/>
        <v>1.0132282578103011E-2</v>
      </c>
      <c r="R70" s="2041"/>
      <c r="S70" s="2040"/>
      <c r="T70" s="2025"/>
      <c r="U70" s="2025"/>
      <c r="V70" s="2025"/>
      <c r="X70" s="2094"/>
      <c r="Y70" s="2094"/>
      <c r="Z70" s="2094"/>
    </row>
    <row r="71" spans="1:26">
      <c r="A71" s="2037" t="s">
        <v>495</v>
      </c>
      <c r="B71" s="2038">
        <f t="shared" si="44"/>
        <v>146.57412060301507</v>
      </c>
      <c r="C71" s="2038">
        <f t="shared" si="44"/>
        <v>136.46831955922866</v>
      </c>
      <c r="D71" s="2038">
        <f t="shared" si="20"/>
        <v>136.46831955922866</v>
      </c>
      <c r="E71" s="2038">
        <f t="shared" si="45"/>
        <v>166.73864894795128</v>
      </c>
      <c r="F71" s="2038">
        <f t="shared" si="45"/>
        <v>115.05882352941177</v>
      </c>
      <c r="G71" s="3517">
        <v>2006</v>
      </c>
      <c r="H71" s="2048">
        <v>2</v>
      </c>
      <c r="I71" s="2048">
        <v>0.96</v>
      </c>
      <c r="J71" s="2048">
        <v>0.25</v>
      </c>
      <c r="K71" s="2048">
        <v>1.9</v>
      </c>
      <c r="L71" s="2049">
        <v>0.95</v>
      </c>
      <c r="N71" s="2092">
        <f t="shared" si="42"/>
        <v>1.8352632728861701E-2</v>
      </c>
      <c r="O71" s="2093">
        <f t="shared" si="42"/>
        <v>2.6286459319075526E-3</v>
      </c>
      <c r="P71" s="2093">
        <f t="shared" si="43"/>
        <v>5.4299289107991269E-2</v>
      </c>
      <c r="Q71" s="2093">
        <f t="shared" si="43"/>
        <v>8.9126559714794995E-3</v>
      </c>
      <c r="R71" s="2041"/>
      <c r="S71" s="2040"/>
      <c r="T71" s="2025"/>
      <c r="U71" s="2025"/>
      <c r="V71" s="2025"/>
      <c r="X71" s="2094"/>
      <c r="Y71" s="2094"/>
      <c r="Z71" s="2094"/>
    </row>
    <row r="72" spans="1:26">
      <c r="A72" s="2037" t="s">
        <v>496</v>
      </c>
      <c r="B72" s="2038">
        <f t="shared" si="44"/>
        <v>144.04145728643215</v>
      </c>
      <c r="C72" s="2038">
        <f t="shared" si="44"/>
        <v>136.12396694214877</v>
      </c>
      <c r="D72" s="2038">
        <f t="shared" si="20"/>
        <v>136.12396694214877</v>
      </c>
      <c r="E72" s="2038">
        <f t="shared" si="45"/>
        <v>158.32225913621264</v>
      </c>
      <c r="F72" s="2038">
        <f t="shared" si="45"/>
        <v>114.04278074866311</v>
      </c>
      <c r="G72" s="3518">
        <v>2006</v>
      </c>
      <c r="H72" s="2039">
        <v>1</v>
      </c>
      <c r="I72" s="2039">
        <v>2.29</v>
      </c>
      <c r="J72" s="2039">
        <v>3.72</v>
      </c>
      <c r="K72" s="2039">
        <v>0.75</v>
      </c>
      <c r="L72" s="2043">
        <v>0.04</v>
      </c>
      <c r="N72" s="2095">
        <f t="shared" si="42"/>
        <v>4.3778675988638847E-2</v>
      </c>
      <c r="O72" s="2096">
        <f t="shared" si="42"/>
        <v>3.9114251466784385E-2</v>
      </c>
      <c r="P72" s="2096">
        <f t="shared" si="43"/>
        <v>2.1433929911049188E-2</v>
      </c>
      <c r="Q72" s="2096">
        <f t="shared" si="43"/>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0"/>
        <v>131</v>
      </c>
      <c r="E73" s="2061">
        <v>155</v>
      </c>
      <c r="F73" s="2062">
        <v>114</v>
      </c>
      <c r="G73" s="3516">
        <v>2005</v>
      </c>
      <c r="H73" s="2054">
        <v>4</v>
      </c>
      <c r="I73" s="2054">
        <v>3.29</v>
      </c>
      <c r="J73" s="2054">
        <v>1.44</v>
      </c>
      <c r="K73" s="2054">
        <v>0.66</v>
      </c>
      <c r="L73" s="2055">
        <v>7.78</v>
      </c>
      <c r="N73" s="2092">
        <f t="shared" ref="N73:O76" si="46">I73/SUM(I$73:I$76)*(B$73/B$77-1)</f>
        <v>9.9404603216919935E-2</v>
      </c>
      <c r="O73" s="2093">
        <f t="shared" si="46"/>
        <v>4.7636550760861554E-2</v>
      </c>
      <c r="P73" s="2093">
        <f t="shared" ref="P73:Q76" si="47">K73/SUM(K$73:K$76)*(E$73/E$77-1)</f>
        <v>8.3756345177664976E-2</v>
      </c>
      <c r="Q73" s="2093">
        <f t="shared" si="47"/>
        <v>5.2148766661559584E-2</v>
      </c>
      <c r="R73" s="2041"/>
      <c r="S73" s="2050"/>
      <c r="T73" s="2051"/>
      <c r="U73" s="2051"/>
      <c r="V73" s="2051"/>
      <c r="X73" s="2094"/>
      <c r="Y73" s="2094"/>
      <c r="Z73" s="2094"/>
    </row>
    <row r="74" spans="1:26">
      <c r="A74" s="2037" t="s">
        <v>498</v>
      </c>
      <c r="B74" s="2038">
        <f t="shared" ref="B74:C76" si="48">B75+(B$73-B$77)*I74/SUM(I$73:I$76)</f>
        <v>125.9720430107527</v>
      </c>
      <c r="C74" s="2038">
        <f t="shared" si="48"/>
        <v>125.1883408071749</v>
      </c>
      <c r="D74" s="2038">
        <f t="shared" si="20"/>
        <v>125.1883408071749</v>
      </c>
      <c r="E74" s="2038">
        <f t="shared" ref="E74:F76" si="49">E75+(E$73-E$77)*K74/SUM(K$73:K$76)</f>
        <v>144.61421319796952</v>
      </c>
      <c r="F74" s="2038">
        <f t="shared" si="49"/>
        <v>108.42008196721311</v>
      </c>
      <c r="G74" s="3517">
        <v>2005</v>
      </c>
      <c r="H74" s="2059">
        <v>3</v>
      </c>
      <c r="I74" s="2059">
        <v>0.46</v>
      </c>
      <c r="J74" s="2059">
        <v>0.32</v>
      </c>
      <c r="K74" s="2059">
        <v>0.42</v>
      </c>
      <c r="L74" s="2060">
        <v>0.64</v>
      </c>
      <c r="N74" s="2092">
        <f t="shared" si="46"/>
        <v>1.3898515951301874E-2</v>
      </c>
      <c r="O74" s="2093">
        <f t="shared" si="46"/>
        <v>1.0585900169080346E-2</v>
      </c>
      <c r="P74" s="2093">
        <f t="shared" si="47"/>
        <v>5.3299492385786795E-2</v>
      </c>
      <c r="Q74" s="2093">
        <f t="shared" si="47"/>
        <v>4.2898728359123568E-3</v>
      </c>
      <c r="R74" s="2041"/>
      <c r="S74" s="2040"/>
      <c r="T74" s="2025"/>
      <c r="U74" s="2025"/>
      <c r="V74" s="2025"/>
      <c r="X74" s="2094"/>
      <c r="Y74" s="2094"/>
      <c r="Z74" s="2094"/>
    </row>
    <row r="75" spans="1:26">
      <c r="A75" s="2037" t="s">
        <v>499</v>
      </c>
      <c r="B75" s="2038">
        <f t="shared" si="48"/>
        <v>124.29032258064517</v>
      </c>
      <c r="C75" s="2038">
        <f t="shared" si="48"/>
        <v>123.8968609865471</v>
      </c>
      <c r="D75" s="2038">
        <f t="shared" si="20"/>
        <v>123.8968609865471</v>
      </c>
      <c r="E75" s="2038">
        <f t="shared" si="49"/>
        <v>138.00507614213197</v>
      </c>
      <c r="F75" s="2038">
        <f t="shared" si="49"/>
        <v>107.96106557377048</v>
      </c>
      <c r="G75" s="3517">
        <v>2005</v>
      </c>
      <c r="H75" s="2048">
        <v>2</v>
      </c>
      <c r="I75" s="2048">
        <v>0.47</v>
      </c>
      <c r="J75" s="2048">
        <v>0.1</v>
      </c>
      <c r="K75" s="2048">
        <v>0.52</v>
      </c>
      <c r="L75" s="2049">
        <v>0.79</v>
      </c>
      <c r="N75" s="2092">
        <f t="shared" si="46"/>
        <v>1.420065760241713E-2</v>
      </c>
      <c r="O75" s="2093">
        <f t="shared" si="46"/>
        <v>3.3080938028376083E-3</v>
      </c>
      <c r="P75" s="2093">
        <f t="shared" si="47"/>
        <v>6.598984771573603E-2</v>
      </c>
      <c r="Q75" s="2093">
        <f t="shared" si="47"/>
        <v>5.2953117818293153E-3</v>
      </c>
      <c r="R75" s="2041"/>
      <c r="S75" s="2040"/>
      <c r="T75" s="2025"/>
      <c r="U75" s="2025"/>
      <c r="V75" s="2025"/>
      <c r="X75" s="2094"/>
      <c r="Y75" s="2094"/>
      <c r="Z75" s="2094"/>
    </row>
    <row r="76" spans="1:26">
      <c r="A76" s="2037" t="s">
        <v>500</v>
      </c>
      <c r="B76" s="2038">
        <f t="shared" si="48"/>
        <v>122.57204301075269</v>
      </c>
      <c r="C76" s="2038">
        <f t="shared" si="48"/>
        <v>123.4932735426009</v>
      </c>
      <c r="D76" s="2038">
        <f t="shared" si="20"/>
        <v>123.4932735426009</v>
      </c>
      <c r="E76" s="2038">
        <f t="shared" si="49"/>
        <v>129.82233502538071</v>
      </c>
      <c r="F76" s="2038">
        <f t="shared" si="49"/>
        <v>107.39446721311475</v>
      </c>
      <c r="G76" s="3518">
        <v>2005</v>
      </c>
      <c r="H76" s="2039">
        <v>1</v>
      </c>
      <c r="I76" s="2039">
        <v>0.43</v>
      </c>
      <c r="J76" s="2039">
        <v>0.37</v>
      </c>
      <c r="K76" s="2039">
        <v>0.37</v>
      </c>
      <c r="L76" s="2043">
        <v>0.55000000000000004</v>
      </c>
      <c r="N76" s="2095">
        <f t="shared" si="46"/>
        <v>1.2992090997956099E-2</v>
      </c>
      <c r="O76" s="2096">
        <f t="shared" si="46"/>
        <v>1.2239947070499151E-2</v>
      </c>
      <c r="P76" s="2096">
        <f t="shared" si="47"/>
        <v>4.6954314720812178E-2</v>
      </c>
      <c r="Q76" s="2096">
        <f t="shared" si="47"/>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0"/>
        <v>122</v>
      </c>
      <c r="E77" s="2080">
        <v>124</v>
      </c>
      <c r="F77" s="2081">
        <v>107</v>
      </c>
      <c r="G77" s="3516">
        <v>2004</v>
      </c>
      <c r="H77" s="2054">
        <v>4</v>
      </c>
      <c r="I77" s="2054">
        <v>0.33</v>
      </c>
      <c r="J77" s="2054">
        <v>0.5</v>
      </c>
      <c r="K77" s="2054">
        <v>0.5</v>
      </c>
      <c r="L77" s="2055">
        <v>0</v>
      </c>
      <c r="N77" s="2092">
        <f t="shared" ref="N77:O80" si="50">I77/SUM(I$77:I$80)*(B$77/B$81-1)</f>
        <v>1.3391770148526898E-2</v>
      </c>
      <c r="O77" s="2093">
        <f t="shared" si="50"/>
        <v>1.063264221158958E-2</v>
      </c>
      <c r="P77" s="2093">
        <f t="shared" ref="P77:Q80" si="51">K77/SUM(K$77:K$80)*(E$77/E$81-1)</f>
        <v>2.2244466688911134E-2</v>
      </c>
      <c r="Q77" s="2093">
        <f t="shared" si="51"/>
        <v>0</v>
      </c>
      <c r="R77" s="2041"/>
      <c r="S77" s="2050"/>
      <c r="T77" s="2051"/>
      <c r="U77" s="2051"/>
      <c r="V77" s="2051"/>
      <c r="X77" s="2094"/>
      <c r="Y77" s="2094"/>
      <c r="Z77" s="2094"/>
    </row>
    <row r="78" spans="1:26">
      <c r="A78" s="2037" t="s">
        <v>502</v>
      </c>
      <c r="B78" s="2038">
        <f t="shared" ref="B78:C80" si="52">B79+(B$77-B$81)*I78/SUM(I$77:I$80)</f>
        <v>119.51351351351352</v>
      </c>
      <c r="C78" s="2038">
        <f t="shared" si="52"/>
        <v>120.7878787878788</v>
      </c>
      <c r="D78" s="2038">
        <f t="shared" si="20"/>
        <v>120.7878787878788</v>
      </c>
      <c r="E78" s="2038">
        <f t="shared" ref="E78:F80" si="53">E79+(E$77-E$81)*K78/SUM(K$77:K$80)</f>
        <v>121.5975975975976</v>
      </c>
      <c r="F78" s="2038">
        <f t="shared" si="53"/>
        <v>107</v>
      </c>
      <c r="G78" s="3517">
        <v>2004</v>
      </c>
      <c r="H78" s="2059">
        <v>3</v>
      </c>
      <c r="I78" s="2059">
        <v>0.56000000000000005</v>
      </c>
      <c r="J78" s="2059">
        <v>0.8</v>
      </c>
      <c r="K78" s="2059">
        <v>0.83</v>
      </c>
      <c r="L78" s="2060">
        <v>0.06</v>
      </c>
      <c r="N78" s="2092">
        <f t="shared" si="50"/>
        <v>2.2725428130833527E-2</v>
      </c>
      <c r="O78" s="2093">
        <f t="shared" si="50"/>
        <v>1.7012227538543329E-2</v>
      </c>
      <c r="P78" s="2093">
        <f t="shared" si="51"/>
        <v>3.6925814703592477E-2</v>
      </c>
      <c r="Q78" s="2093">
        <f t="shared" si="51"/>
        <v>2.8846153846153744E-2</v>
      </c>
      <c r="R78" s="2041"/>
      <c r="S78" s="2040"/>
      <c r="T78" s="2025"/>
      <c r="U78" s="2025"/>
      <c r="V78" s="2025"/>
      <c r="X78" s="2094"/>
      <c r="Y78" s="2094"/>
      <c r="Z78" s="2094"/>
    </row>
    <row r="79" spans="1:26">
      <c r="A79" s="2037" t="s">
        <v>503</v>
      </c>
      <c r="B79" s="2038">
        <f t="shared" si="52"/>
        <v>116.99099099099099</v>
      </c>
      <c r="C79" s="2038">
        <f t="shared" si="52"/>
        <v>118.84848484848486</v>
      </c>
      <c r="D79" s="2038">
        <f t="shared" si="20"/>
        <v>118.84848484848486</v>
      </c>
      <c r="E79" s="2038">
        <f t="shared" si="53"/>
        <v>117.60960960960961</v>
      </c>
      <c r="F79" s="2038">
        <f t="shared" si="53"/>
        <v>104</v>
      </c>
      <c r="G79" s="3517">
        <v>2004</v>
      </c>
      <c r="H79" s="2048">
        <v>2</v>
      </c>
      <c r="I79" s="2048">
        <v>1</v>
      </c>
      <c r="J79" s="2048">
        <v>1.5</v>
      </c>
      <c r="K79" s="2048">
        <v>1.5</v>
      </c>
      <c r="L79" s="2049">
        <v>0</v>
      </c>
      <c r="N79" s="2092">
        <f t="shared" si="50"/>
        <v>4.0581121662202721E-2</v>
      </c>
      <c r="O79" s="2093">
        <f t="shared" si="50"/>
        <v>3.1897926634768738E-2</v>
      </c>
      <c r="P79" s="2093">
        <f t="shared" si="51"/>
        <v>6.6733400066733395E-2</v>
      </c>
      <c r="Q79" s="2093">
        <f t="shared" si="51"/>
        <v>0</v>
      </c>
      <c r="R79" s="2041"/>
      <c r="S79" s="2040"/>
      <c r="T79" s="2025"/>
      <c r="U79" s="2025"/>
      <c r="V79" s="2025"/>
      <c r="X79" s="2094"/>
      <c r="Y79" s="2094"/>
      <c r="Z79" s="2094"/>
    </row>
    <row r="80" spans="1:26" s="2086" customFormat="1" ht="13.8" thickBot="1">
      <c r="A80" s="2037" t="s">
        <v>504</v>
      </c>
      <c r="B80" s="2083">
        <f t="shared" si="52"/>
        <v>112.48648648648648</v>
      </c>
      <c r="C80" s="2083">
        <f t="shared" si="52"/>
        <v>115.21212121212122</v>
      </c>
      <c r="D80" s="2083">
        <f t="shared" si="20"/>
        <v>115.21212121212122</v>
      </c>
      <c r="E80" s="2083">
        <f t="shared" si="53"/>
        <v>110.4024024024024</v>
      </c>
      <c r="F80" s="2083">
        <f t="shared" si="53"/>
        <v>104</v>
      </c>
      <c r="G80" s="3518">
        <v>2004</v>
      </c>
      <c r="H80" s="2084">
        <v>1</v>
      </c>
      <c r="I80" s="2084">
        <v>0.33</v>
      </c>
      <c r="J80" s="2084">
        <v>0.5</v>
      </c>
      <c r="K80" s="2084">
        <v>0.5</v>
      </c>
      <c r="L80" s="2085">
        <v>0</v>
      </c>
      <c r="N80" s="2097">
        <f t="shared" si="50"/>
        <v>1.3391770148526898E-2</v>
      </c>
      <c r="O80" s="2098">
        <f t="shared" si="50"/>
        <v>1.063264221158958E-2</v>
      </c>
      <c r="P80" s="2098">
        <f t="shared" si="51"/>
        <v>2.2244466688911134E-2</v>
      </c>
      <c r="Q80" s="2098">
        <f t="shared" si="51"/>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0"/>
        <v>114</v>
      </c>
      <c r="E81" s="2100">
        <v>108</v>
      </c>
      <c r="F81" s="2101">
        <v>104</v>
      </c>
      <c r="G81" s="351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54">B83+(B$81-B$85)/4</f>
        <v>109.75</v>
      </c>
      <c r="C82" s="2104">
        <f t="shared" si="54"/>
        <v>112.25</v>
      </c>
      <c r="D82" s="2104">
        <f t="shared" si="20"/>
        <v>112.25</v>
      </c>
      <c r="E82" s="2104">
        <f t="shared" ref="E82:F84" si="55">E83+(E$81-E$85)/4</f>
        <v>107.25</v>
      </c>
      <c r="F82" s="2104">
        <f t="shared" si="55"/>
        <v>103.5</v>
      </c>
      <c r="G82" s="3517">
        <v>2003</v>
      </c>
      <c r="H82" s="2059">
        <v>3</v>
      </c>
      <c r="I82" s="2102"/>
      <c r="J82" s="2102"/>
      <c r="K82" s="2102"/>
      <c r="L82" s="2102"/>
      <c r="X82" s="2094"/>
      <c r="Y82" s="2094"/>
      <c r="Z82" s="2094"/>
    </row>
    <row r="83" spans="1:26">
      <c r="A83" s="2037" t="s">
        <v>507</v>
      </c>
      <c r="B83" s="2104">
        <f t="shared" si="54"/>
        <v>108.5</v>
      </c>
      <c r="C83" s="2104">
        <f t="shared" si="54"/>
        <v>110.5</v>
      </c>
      <c r="D83" s="2104">
        <f t="shared" si="20"/>
        <v>110.5</v>
      </c>
      <c r="E83" s="2104">
        <f t="shared" si="55"/>
        <v>106.5</v>
      </c>
      <c r="F83" s="2104">
        <f t="shared" si="55"/>
        <v>103</v>
      </c>
      <c r="G83" s="3517">
        <v>2003</v>
      </c>
      <c r="H83" s="2048">
        <v>2</v>
      </c>
      <c r="I83" s="2102"/>
      <c r="J83" s="2102"/>
      <c r="K83" s="2102"/>
      <c r="L83" s="2102"/>
      <c r="X83" s="2094"/>
      <c r="Y83" s="2094"/>
      <c r="Z83" s="2094"/>
    </row>
    <row r="84" spans="1:26" ht="13.8" thickBot="1">
      <c r="A84" s="2037" t="s">
        <v>508</v>
      </c>
      <c r="B84" s="2104">
        <f t="shared" si="54"/>
        <v>107.25</v>
      </c>
      <c r="C84" s="2104">
        <f t="shared" si="54"/>
        <v>108.75</v>
      </c>
      <c r="D84" s="2104">
        <f t="shared" si="20"/>
        <v>108.75</v>
      </c>
      <c r="E84" s="2104">
        <f t="shared" si="55"/>
        <v>105.75</v>
      </c>
      <c r="F84" s="2104">
        <f t="shared" si="55"/>
        <v>102.5</v>
      </c>
      <c r="G84" s="3518">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0"/>
        <v>107</v>
      </c>
      <c r="E85" s="2106">
        <v>105</v>
      </c>
      <c r="F85" s="2107">
        <v>102</v>
      </c>
      <c r="G85" s="351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56">B87+(B$85-B$89)/4</f>
        <v>105</v>
      </c>
      <c r="C86" s="2104">
        <f t="shared" si="56"/>
        <v>106</v>
      </c>
      <c r="D86" s="2104">
        <f t="shared" si="20"/>
        <v>106</v>
      </c>
      <c r="E86" s="2104">
        <f t="shared" ref="E86:F88" si="57">E87+(E$85-E$89)/4</f>
        <v>104.5</v>
      </c>
      <c r="F86" s="2104">
        <f t="shared" si="57"/>
        <v>101.5</v>
      </c>
      <c r="G86" s="3517">
        <v>2002</v>
      </c>
      <c r="H86" s="2059">
        <v>3</v>
      </c>
      <c r="I86" s="2102"/>
      <c r="J86" s="2102"/>
      <c r="K86" s="2102"/>
      <c r="L86" s="2102"/>
      <c r="X86" s="2094"/>
      <c r="Y86" s="2094"/>
      <c r="Z86" s="2094"/>
    </row>
    <row r="87" spans="1:26">
      <c r="A87" s="2037" t="s">
        <v>511</v>
      </c>
      <c r="B87" s="2104">
        <f t="shared" si="56"/>
        <v>104</v>
      </c>
      <c r="C87" s="2104">
        <f t="shared" si="56"/>
        <v>105</v>
      </c>
      <c r="D87" s="2104">
        <f t="shared" si="20"/>
        <v>105</v>
      </c>
      <c r="E87" s="2104">
        <f t="shared" si="57"/>
        <v>104</v>
      </c>
      <c r="F87" s="2104">
        <f t="shared" si="57"/>
        <v>101</v>
      </c>
      <c r="G87" s="3517">
        <v>2002</v>
      </c>
      <c r="H87" s="2048">
        <v>2</v>
      </c>
      <c r="I87" s="2102"/>
      <c r="J87" s="2102"/>
      <c r="K87" s="2102"/>
      <c r="L87" s="2102"/>
      <c r="X87" s="2094"/>
      <c r="Y87" s="2094"/>
      <c r="Z87" s="2094"/>
    </row>
    <row r="88" spans="1:26" s="2069" customFormat="1" ht="13.8" thickBot="1">
      <c r="A88" s="2065" t="s">
        <v>512</v>
      </c>
      <c r="B88" s="2072">
        <f t="shared" si="56"/>
        <v>103</v>
      </c>
      <c r="C88" s="2072">
        <f t="shared" si="56"/>
        <v>104</v>
      </c>
      <c r="D88" s="2072">
        <f t="shared" si="20"/>
        <v>104</v>
      </c>
      <c r="E88" s="2072">
        <f t="shared" si="57"/>
        <v>103.5</v>
      </c>
      <c r="F88" s="2072">
        <f t="shared" si="57"/>
        <v>100.5</v>
      </c>
      <c r="G88" s="3518">
        <v>2002</v>
      </c>
      <c r="H88" s="2108">
        <v>1</v>
      </c>
      <c r="I88" s="2109"/>
      <c r="J88" s="2109"/>
      <c r="K88" s="2109"/>
      <c r="L88" s="2109"/>
      <c r="N88" s="2110"/>
      <c r="S88" s="2110"/>
      <c r="X88" s="2111"/>
      <c r="Y88" s="2111"/>
      <c r="Z88" s="2111"/>
    </row>
    <row r="89" spans="1:26" ht="13.8" thickBot="1">
      <c r="B89" s="2112">
        <v>102</v>
      </c>
      <c r="C89" s="2113">
        <v>103</v>
      </c>
      <c r="D89" s="2113">
        <f t="shared" si="20"/>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45762</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2">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3"/>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71">
        <v>4.25</v>
      </c>
      <c r="E26" s="2571">
        <v>4.25</v>
      </c>
      <c r="F26" s="2571">
        <v>4.25</v>
      </c>
      <c r="G26" s="2571">
        <v>4.25</v>
      </c>
      <c r="H26" s="2571">
        <v>4.8499999999999996</v>
      </c>
      <c r="I26" s="2571"/>
      <c r="J26" s="2571"/>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4"/>
      <c r="C27" s="2575">
        <v>42301</v>
      </c>
      <c r="D27" s="2576">
        <v>4.3499999999999996</v>
      </c>
      <c r="E27" s="2576">
        <v>4.3499999999999996</v>
      </c>
      <c r="F27" s="2576">
        <v>4.75</v>
      </c>
      <c r="G27" s="2576">
        <v>4.75</v>
      </c>
      <c r="H27" s="2576">
        <v>4.9000000000000004</v>
      </c>
      <c r="I27" s="2576"/>
      <c r="J27" s="2576"/>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201"/>
      <c r="B3" s="3201"/>
      <c r="C3" s="3201"/>
      <c r="D3" s="798" t="s">
        <v>925</v>
      </c>
      <c r="E3" s="798" t="s">
        <v>931</v>
      </c>
      <c r="F3" s="798" t="s">
        <v>925</v>
      </c>
      <c r="G3" s="798" t="s">
        <v>926</v>
      </c>
      <c r="H3" s="798" t="s">
        <v>925</v>
      </c>
      <c r="I3" s="798" t="s">
        <v>926</v>
      </c>
    </row>
    <row r="4" spans="1:9" ht="15">
      <c r="A4" s="1400" t="str">
        <f>项目基本情况!S2</f>
        <v>房地产</v>
      </c>
      <c r="B4" s="798">
        <f>项目基本情况!C17</f>
        <v>21949.910000000098</v>
      </c>
      <c r="C4" s="798">
        <f>项目基本情况!C18</f>
        <v>0</v>
      </c>
      <c r="D4" s="798">
        <f ca="1">结果表!D118</f>
        <v>18172</v>
      </c>
      <c r="E4" s="798">
        <f ca="1">结果表!E118</f>
        <v>8279</v>
      </c>
      <c r="F4" s="798">
        <f ca="1">结果表!F118</f>
        <v>9237</v>
      </c>
      <c r="G4" s="798">
        <f ca="1">结果表!G118</f>
        <v>4208</v>
      </c>
      <c r="H4" s="798">
        <f ca="1">结果表!H118</f>
        <v>27409</v>
      </c>
      <c r="I4" s="798">
        <f ca="1">结果表!I118</f>
        <v>12487</v>
      </c>
    </row>
    <row r="5" spans="1:9" ht="30" customHeight="1">
      <c r="A5" s="3201" t="s">
        <v>927</v>
      </c>
      <c r="B5" s="3201"/>
      <c r="C5" s="3201"/>
      <c r="D5" s="3201" t="str">
        <f ca="1">结果表!D119</f>
        <v>壹亿捌仟壹佰柒拾贰万元整</v>
      </c>
      <c r="E5" s="3201"/>
      <c r="F5" s="3201" t="str">
        <f ca="1">结果表!F119</f>
        <v>玖仟贰佰叁拾柒万元整</v>
      </c>
      <c r="G5" s="3201"/>
      <c r="H5" s="3201" t="str">
        <f ca="1">结果表!H119</f>
        <v>贰亿柒仟肆佰零玖万元整</v>
      </c>
      <c r="I5" s="3201"/>
    </row>
    <row r="6" spans="1:9" ht="15.6">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6">
      <c r="A8" s="3202" t="str">
        <f>结果表!A122</f>
        <v>房地产抵押价值</v>
      </c>
      <c r="B8" s="3202"/>
      <c r="C8" s="3202"/>
      <c r="D8" s="3202">
        <f ca="1">结果表!D122</f>
        <v>27409</v>
      </c>
      <c r="E8" s="3202"/>
      <c r="F8" s="3202"/>
      <c r="G8" s="3202"/>
      <c r="H8" s="3202"/>
      <c r="I8" s="3202"/>
    </row>
    <row r="9" spans="1:9" ht="15">
      <c r="A9" s="3201" t="s">
        <v>927</v>
      </c>
      <c r="B9" s="3201"/>
      <c r="C9" s="3201"/>
      <c r="D9" s="3201" t="str">
        <f ca="1">结果表!D123</f>
        <v>贰亿柒仟肆佰零玖万元整</v>
      </c>
      <c r="E9" s="3201"/>
      <c r="F9" s="3201"/>
      <c r="G9" s="3201"/>
      <c r="H9" s="3201"/>
      <c r="I9" s="3201"/>
    </row>
    <row r="10" spans="1:9" ht="15.6">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6">
      <c r="A12" s="3202" t="str">
        <f>结果表!A126</f>
        <v>抵押净值</v>
      </c>
      <c r="B12" s="3202"/>
      <c r="C12" s="3202"/>
      <c r="D12" s="3202">
        <f ca="1">结果表!D126</f>
        <v>10420</v>
      </c>
      <c r="E12" s="3202"/>
      <c r="F12" s="3202"/>
      <c r="G12" s="3202"/>
      <c r="H12" s="3202"/>
      <c r="I12" s="3202"/>
    </row>
    <row r="13" spans="1:9" ht="15.6" thickBot="1">
      <c r="A13" s="3206" t="s">
        <v>927</v>
      </c>
      <c r="B13" s="3206"/>
      <c r="C13" s="3206"/>
      <c r="D13" s="3206" t="str">
        <f ca="1">结果表!D127</f>
        <v>壹亿零肆佰贰拾万元整</v>
      </c>
      <c r="E13" s="3206"/>
      <c r="F13" s="3206"/>
      <c r="G13" s="3206"/>
      <c r="H13" s="3206"/>
      <c r="I13" s="3206"/>
    </row>
    <row r="14" spans="1:9" ht="14.4" thickTop="1">
      <c r="A14" s="3207" t="s">
        <v>932</v>
      </c>
      <c r="B14" s="3207"/>
      <c r="C14" s="3207"/>
      <c r="D14" s="3207"/>
      <c r="E14" s="3207"/>
      <c r="F14" s="3207"/>
      <c r="G14" s="3207"/>
      <c r="H14" s="3207"/>
      <c r="I14" s="3207"/>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8" t="s">
        <v>949</v>
      </c>
      <c r="B1" s="3208"/>
      <c r="C1" s="3208"/>
      <c r="D1" s="3208"/>
    </row>
    <row r="2" spans="1:4" ht="17.399999999999999">
      <c r="A2" s="3209" t="s">
        <v>933</v>
      </c>
      <c r="B2" s="3209"/>
      <c r="C2" s="3209"/>
      <c r="D2" s="3209"/>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0</v>
      </c>
      <c r="C5" s="1409"/>
      <c r="D5" s="1408" t="s">
        <v>938</v>
      </c>
    </row>
    <row r="6" spans="1:4" ht="17.399999999999999">
      <c r="A6" s="3209" t="s">
        <v>939</v>
      </c>
      <c r="B6" s="3209"/>
      <c r="C6" s="3209"/>
      <c r="D6" s="320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0" t="s">
        <v>942</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2" t="s">
        <v>956</v>
      </c>
      <c r="B15" s="3217" t="s">
        <v>109</v>
      </c>
      <c r="C15" s="3218"/>
    </row>
    <row r="16" spans="1:7" ht="14.4">
      <c r="A16" s="3223"/>
      <c r="B16" s="3217" t="s">
        <v>42</v>
      </c>
      <c r="C16" s="3218"/>
    </row>
    <row r="17" spans="1:3" ht="14.4">
      <c r="A17" s="3223"/>
      <c r="B17" s="3220" t="s">
        <v>957</v>
      </c>
      <c r="C17" s="1426" t="s">
        <v>956</v>
      </c>
    </row>
    <row r="18" spans="1:3" ht="14.4">
      <c r="A18" s="3223"/>
      <c r="B18" s="3220"/>
      <c r="C18" s="1426" t="s">
        <v>958</v>
      </c>
    </row>
    <row r="19" spans="1:3" ht="14.4">
      <c r="A19" s="3223"/>
      <c r="B19" s="3220"/>
      <c r="C19" s="1426" t="s">
        <v>959</v>
      </c>
    </row>
    <row r="20" spans="1:3" ht="14.4">
      <c r="A20" s="3224"/>
      <c r="B20" s="3219" t="s">
        <v>960</v>
      </c>
      <c r="C20" s="3218"/>
    </row>
    <row r="21" spans="1:3" ht="14.4">
      <c r="A21" s="1427" t="s">
        <v>961</v>
      </c>
      <c r="B21" s="1428"/>
      <c r="C21" s="1429"/>
    </row>
    <row r="22" spans="1:3" ht="14.4">
      <c r="A22" s="3221" t="s">
        <v>962</v>
      </c>
      <c r="B22" s="3219" t="s">
        <v>963</v>
      </c>
      <c r="C22" s="3218"/>
    </row>
    <row r="23" spans="1:3" ht="14.4">
      <c r="A23" s="3221"/>
      <c r="B23" s="3219" t="s">
        <v>964</v>
      </c>
      <c r="C23" s="3218"/>
    </row>
    <row r="24" spans="1:3" ht="14.4">
      <c r="A24" s="3221"/>
      <c r="B24" s="3219" t="s">
        <v>965</v>
      </c>
      <c r="C24" s="3218"/>
    </row>
    <row r="25" spans="1:3" ht="14.4">
      <c r="A25" s="3221"/>
      <c r="B25" s="3220" t="s">
        <v>966</v>
      </c>
      <c r="C25" s="1426" t="s">
        <v>967</v>
      </c>
    </row>
    <row r="26" spans="1:3" ht="14.4">
      <c r="A26" s="3221"/>
      <c r="B26" s="3220"/>
      <c r="C26" s="1426" t="s">
        <v>968</v>
      </c>
    </row>
    <row r="27" spans="1:3" ht="14.4">
      <c r="A27" s="3221"/>
      <c r="B27" s="3220"/>
      <c r="C27" s="1426" t="s">
        <v>969</v>
      </c>
    </row>
    <row r="28" spans="1:3" ht="14.4">
      <c r="A28" s="3221"/>
      <c r="B28" s="3220"/>
      <c r="C28" s="1426" t="s">
        <v>970</v>
      </c>
    </row>
    <row r="29" spans="1:3" ht="14.4">
      <c r="A29" s="3221"/>
      <c r="B29" s="3220"/>
      <c r="C29" s="1426" t="s">
        <v>971</v>
      </c>
    </row>
    <row r="30" spans="1:3" ht="14.4">
      <c r="A30" s="3221"/>
      <c r="B30" s="3220"/>
      <c r="C30" s="1426" t="s">
        <v>972</v>
      </c>
    </row>
    <row r="31" spans="1:3" ht="14.4">
      <c r="A31" s="3221"/>
      <c r="B31" s="3220"/>
      <c r="C31" s="1426" t="s">
        <v>973</v>
      </c>
    </row>
    <row r="32" spans="1:3" ht="14.4">
      <c r="A32" s="3221"/>
      <c r="B32" s="3220"/>
      <c r="C32" s="1426" t="s">
        <v>974</v>
      </c>
    </row>
    <row r="33" spans="1:3" ht="14.4">
      <c r="A33" s="3221"/>
      <c r="B33" s="3220"/>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45770</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7"/>
      <c r="E18" s="3227" t="s">
        <v>2162</v>
      </c>
      <c r="F18" s="3226"/>
      <c r="G18" s="3226"/>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41" priority="32" stopIfTrue="1" operator="equal">
      <formula>"已过期"</formula>
    </cfRule>
  </conditionalFormatting>
  <conditionalFormatting sqref="B4:B15">
    <cfRule type="cellIs" dxfId="140" priority="4" stopIfTrue="1" operator="equal">
      <formula>"已过期"</formula>
    </cfRule>
  </conditionalFormatting>
  <conditionalFormatting sqref="C7:C12">
    <cfRule type="expression" dxfId="139" priority="22">
      <formula>AND($C7-TODAY()&lt;30,TODAY()&lt;$C7)</formula>
    </cfRule>
    <cfRule type="cellIs" dxfId="138" priority="23" stopIfTrue="1" operator="lessThan">
      <formula>$B$2</formula>
    </cfRule>
  </conditionalFormatting>
  <conditionalFormatting sqref="C14:C15">
    <cfRule type="expression" dxfId="137" priority="7">
      <formula>AND($C14-TODAY()&lt;30,TODAY()&lt;$C14)</formula>
    </cfRule>
    <cfRule type="cellIs" dxfId="136" priority="8" stopIfTrue="1" operator="lessThan">
      <formula>$B$2</formula>
    </cfRule>
  </conditionalFormatting>
  <conditionalFormatting sqref="C4:D6 D14">
    <cfRule type="cellIs" dxfId="135" priority="50" stopIfTrue="1" operator="lessThan">
      <formula>$B$2</formula>
    </cfRule>
  </conditionalFormatting>
  <conditionalFormatting sqref="C12:D13">
    <cfRule type="expression" dxfId="134" priority="47">
      <formula>AND($C12-TODAY()&lt;30,TODAY()&lt;$C12)</formula>
    </cfRule>
  </conditionalFormatting>
  <conditionalFormatting sqref="C13:D14">
    <cfRule type="expression" dxfId="133" priority="18">
      <formula>AND($C13-TODAY()&lt;30,TODAY()&lt;$C13)</formula>
    </cfRule>
    <cfRule type="cellIs" dxfId="132" priority="19" stopIfTrue="1" operator="lessThan">
      <formula>$B$2</formula>
    </cfRule>
  </conditionalFormatting>
  <conditionalFormatting sqref="C15:D15">
    <cfRule type="expression" dxfId="131" priority="5">
      <formula>AND($C15-TODAY()&lt;30,TODAY()&lt;$C15)</formula>
    </cfRule>
    <cfRule type="cellIs" dxfId="130" priority="6" stopIfTrue="1" operator="lessThan">
      <formula>$B$2</formula>
    </cfRule>
  </conditionalFormatting>
  <conditionalFormatting sqref="C20:D20 C13:D13">
    <cfRule type="cellIs" dxfId="129" priority="54" stopIfTrue="1" operator="lessThan">
      <formula>$B$2</formula>
    </cfRule>
  </conditionalFormatting>
  <conditionalFormatting sqref="C20:D20">
    <cfRule type="expression" dxfId="128" priority="52">
      <formula>AND($C20-TODAY()&lt;30,TODAY()&lt;$C20)</formula>
    </cfRule>
  </conditionalFormatting>
  <conditionalFormatting sqref="D7:D12 D16">
    <cfRule type="expression" dxfId="127" priority="53">
      <formula>AND($C7-TODAY()&lt;30,TODAY()&lt;$C7)</formula>
    </cfRule>
  </conditionalFormatting>
  <conditionalFormatting sqref="D7:D12">
    <cfRule type="cellIs" dxfId="126" priority="48" stopIfTrue="1" operator="lessThan">
      <formula>$B$2</formula>
    </cfRule>
  </conditionalFormatting>
  <conditionalFormatting sqref="D14 C4:D6">
    <cfRule type="expression" dxfId="125" priority="49">
      <formula>AND($C4-TODAY()&lt;30,TODAY()&lt;$C4)</formula>
    </cfRule>
  </conditionalFormatting>
  <conditionalFormatting sqref="D15:D16">
    <cfRule type="expression" dxfId="124" priority="12">
      <formula>AND($C15-TODAY()&lt;30,TODAY()&lt;$C15)</formula>
    </cfRule>
    <cfRule type="cellIs" dxfId="123" priority="13" stopIfTrue="1" operator="lessThan">
      <formula>$B$2</formula>
    </cfRule>
  </conditionalFormatting>
  <conditionalFormatting sqref="E16:G16">
    <cfRule type="cellIs" dxfId="122" priority="31" stopIfTrue="1" operator="equal">
      <formula>"已过期"</formula>
    </cfRule>
  </conditionalFormatting>
  <conditionalFormatting sqref="F4:F15">
    <cfRule type="cellIs" dxfId="121" priority="9" stopIfTrue="1" operator="equal">
      <formula>"已过期"</formula>
    </cfRule>
  </conditionalFormatting>
  <conditionalFormatting sqref="G4:G15">
    <cfRule type="cellIs" dxfId="120" priority="3" stopIfTrue="1" operator="lessThan">
      <formula>$B$2</formula>
    </cfRule>
  </conditionalFormatting>
  <conditionalFormatting sqref="G20:G21">
    <cfRule type="expression" dxfId="119" priority="1" stopIfTrue="1">
      <formula>AND(#REF!-TODAY()&lt;30,TODAY()&lt;#REF!)</formula>
    </cfRule>
    <cfRule type="cellIs" dxfId="11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收益法车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2025-04-23T08:16:48Z</dcterms:modified>
</cp:coreProperties>
</file>