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22" hidden="1">'比较法-办公售价'!$A$1:$L$50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2">'比较法-办公售价'!$A$1:$K$55,'比较法-办公售价'!$A$58:$M$132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25" i="1" l="1"/>
  <c r="P27" i="1" s="1"/>
  <c r="G37" i="80"/>
  <c r="C37" i="80"/>
  <c r="J37" i="80" s="1"/>
  <c r="AC37" i="80" s="1"/>
  <c r="I11" i="34"/>
  <c r="G11" i="34"/>
  <c r="E11" i="34"/>
  <c r="C11"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D3" i="80"/>
  <c r="B54" i="1"/>
  <c r="Y6" i="1"/>
  <c r="N6" i="1"/>
  <c r="K25" i="1"/>
  <c r="K27" i="1" s="1"/>
  <c r="D2" i="80"/>
  <c r="F37" i="80" l="1"/>
  <c r="AA37" i="80" s="1"/>
  <c r="AC17" i="80"/>
  <c r="F29" i="80"/>
  <c r="AA29" i="80" s="1"/>
  <c r="F31" i="80"/>
  <c r="AA31" i="80" s="1"/>
  <c r="U8" i="80"/>
  <c r="AA8" i="80"/>
  <c r="AC8" i="80"/>
  <c r="U9" i="80"/>
  <c r="S10" i="80"/>
  <c r="W10" i="80"/>
  <c r="U11" i="80"/>
  <c r="S12" i="80"/>
  <c r="W12" i="80"/>
  <c r="U13" i="80"/>
  <c r="S14" i="80"/>
  <c r="W14" i="80"/>
  <c r="S15" i="80"/>
  <c r="W15" i="80"/>
  <c r="S17" i="80"/>
  <c r="W19"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C59" i="80"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F40" i="67"/>
  <c r="F8" i="67"/>
  <c r="L47" i="15"/>
  <c r="B10" i="76"/>
  <c r="F43" i="15"/>
  <c r="E13" i="76"/>
  <c r="M22" i="67"/>
  <c r="E10" i="76"/>
  <c r="F26" i="67"/>
  <c r="F7" i="67"/>
  <c r="F9" i="15"/>
  <c r="F42" i="15"/>
  <c r="M26" i="15"/>
  <c r="F37" i="67"/>
  <c r="B13" i="76"/>
  <c r="D3" i="73"/>
  <c r="F36" i="67"/>
  <c r="E9" i="76"/>
  <c r="L48" i="67"/>
  <c r="F13" i="15"/>
  <c r="F26" i="15"/>
  <c r="E11" i="76"/>
  <c r="E12" i="76"/>
  <c r="F9" i="67"/>
  <c r="E2" i="69"/>
  <c r="M8" i="15"/>
  <c r="J15" i="67"/>
  <c r="M9" i="15"/>
  <c r="L47" i="67"/>
  <c r="M28" i="67"/>
  <c r="F36" i="15"/>
  <c r="F6" i="73"/>
  <c r="F38" i="67"/>
  <c r="D6" i="73"/>
  <c r="E7" i="76"/>
  <c r="C76" i="15"/>
  <c r="F6" i="15"/>
  <c r="M6" i="67"/>
  <c r="E8" i="76"/>
  <c r="F42" i="67"/>
  <c r="F43" i="67"/>
  <c r="M6" i="15"/>
  <c r="AO13" i="1"/>
  <c r="F8" i="15"/>
  <c r="M29" i="67"/>
  <c r="M29" i="15"/>
  <c r="M9" i="67"/>
  <c r="C76" i="67"/>
  <c r="F40" i="15"/>
  <c r="B7" i="76"/>
  <c r="F7" i="73"/>
  <c r="F3" i="73"/>
  <c r="M24" i="15"/>
  <c r="F37" i="15"/>
  <c r="F16" i="67"/>
  <c r="F4" i="73"/>
  <c r="B12" i="76"/>
  <c r="B9" i="76"/>
  <c r="B11" i="76"/>
  <c r="D7" i="73"/>
  <c r="F16" i="15"/>
  <c r="B8" i="76"/>
  <c r="M23" i="15"/>
  <c r="F7" i="15"/>
  <c r="M26" i="67"/>
  <c r="F38" i="15"/>
  <c r="M22" i="15"/>
  <c r="D4" i="73"/>
  <c r="J15" i="15"/>
  <c r="F5" i="73"/>
  <c r="L48" i="15"/>
  <c r="F13" i="67"/>
  <c r="E2" i="68"/>
  <c r="M28" i="15"/>
  <c r="F20" i="31"/>
  <c r="M23" i="67"/>
  <c r="D5" i="73"/>
  <c r="M8" i="67"/>
  <c r="D93" i="9" l="1"/>
  <c r="B41" i="1"/>
  <c r="D59" i="80"/>
  <c r="E59" i="80" s="1"/>
  <c r="F59" i="80" s="1"/>
  <c r="G59" i="80" s="1"/>
  <c r="H59" i="80" s="1"/>
  <c r="I59" i="80" s="1"/>
  <c r="J59" i="80" s="1"/>
  <c r="K59" i="80" s="1"/>
  <c r="L59" i="80" s="1"/>
  <c r="M59" i="80" s="1"/>
  <c r="N59" i="80" s="1"/>
  <c r="O59" i="80" s="1"/>
  <c r="H7" i="80"/>
  <c r="F7" i="80"/>
  <c r="J7" i="80"/>
  <c r="G6" i="1"/>
  <c r="C10" i="34"/>
  <c r="I24" i="43"/>
  <c r="M64" i="43"/>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C16" i="15"/>
  <c r="C36" i="69"/>
  <c r="G1" i="73"/>
  <c r="F27" i="69"/>
  <c r="D9" i="69"/>
  <c r="F48" i="9" l="1"/>
  <c r="O52" i="9" s="1"/>
  <c r="M18" i="67"/>
  <c r="F31" i="12"/>
  <c r="C31" i="12" s="1"/>
  <c r="D68" i="9"/>
  <c r="F30" i="69"/>
  <c r="F30" i="11"/>
  <c r="M18" i="15"/>
  <c r="AC7" i="80"/>
  <c r="V49" i="80" s="1"/>
  <c r="I49" i="80" s="1"/>
  <c r="W7" i="80"/>
  <c r="AA7" i="80"/>
  <c r="R49" i="80" s="1"/>
  <c r="S7" i="80"/>
  <c r="G10" i="34"/>
  <c r="H10" i="34" s="1"/>
  <c r="E10" i="34"/>
  <c r="F10" i="34" s="1"/>
  <c r="I10" i="34"/>
  <c r="J10" i="34" s="1"/>
  <c r="U7" i="80"/>
  <c r="AB7" i="80"/>
  <c r="T49" i="80" s="1"/>
  <c r="G49" i="80" s="1"/>
  <c r="K65" i="43"/>
  <c r="J65" i="43" s="1"/>
  <c r="M65" i="43"/>
  <c r="N65" i="43" s="1"/>
  <c r="K62" i="43"/>
  <c r="M62" i="43"/>
  <c r="N62" i="43" s="1"/>
  <c r="K68" i="43"/>
  <c r="J68" i="43" s="1"/>
  <c r="D68" i="43" s="1"/>
  <c r="M68" i="43"/>
  <c r="N68" i="43" s="1"/>
  <c r="K61" i="43"/>
  <c r="M61" i="43"/>
  <c r="N61" i="43" s="1"/>
  <c r="K66" i="43"/>
  <c r="M66" i="43"/>
  <c r="N66" i="43" s="1"/>
  <c r="K63" i="43"/>
  <c r="M63" i="43"/>
  <c r="N63" i="43" s="1"/>
  <c r="N370" i="46"/>
  <c r="J26" i="43"/>
  <c r="G26" i="43"/>
  <c r="D26" i="43" s="1"/>
  <c r="C25" i="43" s="1"/>
  <c r="F7" i="36"/>
  <c r="S7" i="36" s="1"/>
  <c r="J7" i="37"/>
  <c r="H7" i="36"/>
  <c r="AB7" i="36" s="1"/>
  <c r="T36" i="36" s="1"/>
  <c r="G36" i="36" s="1"/>
  <c r="D18" i="53"/>
  <c r="B35" i="72" s="1"/>
  <c r="C7" i="74"/>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AC10" i="34"/>
  <c r="W10" i="34"/>
  <c r="E49" i="80"/>
  <c r="I54" i="80" s="1"/>
  <c r="J54" i="80" s="1"/>
  <c r="R50" i="80"/>
  <c r="T49" i="34"/>
  <c r="G49" i="34" s="1"/>
  <c r="AA10" i="34"/>
  <c r="S10" i="34"/>
  <c r="G54" i="80"/>
  <c r="H54" i="80" s="1"/>
  <c r="G53" i="80"/>
  <c r="H53" i="80" s="1"/>
  <c r="AB10" i="34"/>
  <c r="U10" i="34"/>
  <c r="I53" i="80"/>
  <c r="J53" i="80" s="1"/>
  <c r="J63" i="43"/>
  <c r="D63" i="43"/>
  <c r="J66" i="43"/>
  <c r="D66" i="43"/>
  <c r="J61" i="43"/>
  <c r="D61" i="43"/>
  <c r="J62" i="43"/>
  <c r="D62" i="4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67"/>
  <c r="F41" i="15"/>
  <c r="F41" i="67"/>
  <c r="M27" i="15"/>
  <c r="C49" i="80" l="1"/>
  <c r="C50" i="80"/>
  <c r="B2" i="80" s="1"/>
  <c r="E54" i="80"/>
  <c r="F54" i="80" s="1"/>
  <c r="E53" i="80"/>
  <c r="F53" i="80" s="1"/>
  <c r="F69" i="67"/>
  <c r="E61" i="43"/>
  <c r="B59" i="43" s="1"/>
  <c r="C28" i="43" s="1"/>
  <c r="C42" i="43" s="1"/>
  <c r="R50" i="34"/>
  <c r="C50" i="34" s="1"/>
  <c r="U6" i="1" s="1"/>
  <c r="G54" i="34"/>
  <c r="H54" i="3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15"/>
  <c r="C19" i="9"/>
  <c r="C17" i="67"/>
  <c r="F6" i="67"/>
  <c r="C34" i="69"/>
  <c r="D10" i="69"/>
  <c r="C102" i="9" l="1"/>
  <c r="B3" i="80"/>
  <c r="E42" i="43"/>
  <c r="G42" i="43"/>
  <c r="I42" i="43" s="1"/>
  <c r="T9" i="43"/>
  <c r="V9" i="43" s="1"/>
  <c r="T12" i="43"/>
  <c r="V12" i="43" s="1"/>
  <c r="T3" i="43"/>
  <c r="V3" i="43" s="1"/>
  <c r="C33" i="43"/>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10" i="67" s="1"/>
  <c r="C5" i="67" s="1"/>
  <c r="C38" i="67" s="1"/>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20" i="9"/>
  <c r="C103" i="9" l="1"/>
  <c r="G37" i="43"/>
  <c r="I37" i="43" s="1"/>
  <c r="G40" i="43"/>
  <c r="I40" i="43" s="1"/>
  <c r="E40" i="43"/>
  <c r="C34" i="43"/>
  <c r="E34" i="43" s="1"/>
  <c r="E33"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31" i="43" l="1"/>
  <c r="C30"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W7" i="21" l="1"/>
  <c r="AA7" i="21"/>
  <c r="R48" i="21" s="1"/>
  <c r="E2" i="76"/>
  <c r="B2" i="43"/>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B6" i="76"/>
  <c r="F35" i="15"/>
  <c r="F35" i="67"/>
  <c r="M21" i="67"/>
  <c r="B2" i="76" l="1"/>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19" i="9"/>
  <c r="D2" i="37"/>
  <c r="D2" i="36"/>
  <c r="D102" i="9" l="1"/>
  <c r="G19" i="9"/>
  <c r="J20"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D20" i="9"/>
  <c r="AO7" i="1"/>
  <c r="AO11" i="1"/>
  <c r="AO6" i="1"/>
  <c r="AO12" i="1"/>
  <c r="AO10"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l="1"/>
  <c r="C96" i="9" s="1"/>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<sst xmlns="http://schemas.openxmlformats.org/spreadsheetml/2006/main" count="8294" uniqueCount="3505">
  <si>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</si>
  <si>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</si>
  <si>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</si>
  <si>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</si>
  <si>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</si>
  <si>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</si>
  <si>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</si>
  <si>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</si>
  <si>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</si>
  <si>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</si>
  <si>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</si>
  <si>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</si>
  <si>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</si>
  <si>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</si>
  <si>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</si>
  <si>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</si>
  <si>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</si>
  <si>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</si>
  <si>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</si>
  <si>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</si>
  <si>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</si>
  <si>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</si>
  <si>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</si>
  <si>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</si>
  <si>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</si>
  <si>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</si>
  <si>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</si>
  <si>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</si>
  <si>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</si>
  <si>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</si>
  <si>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</si>
  <si>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</si>
  <si>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</si>
  <si>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</si>
  <si>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</si>
  <si>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</si>
  <si>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</si>
  <si>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</si>
  <si>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</si>
  <si>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</si>
  <si>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</si>
  <si>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</si>
  <si>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</si>
  <si>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</si>
  <si>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</si>
  <si>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</si>
  <si>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</si>
  <si>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</si>
  <si>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</si>
  <si>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</si>
  <si>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</si>
  <si>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</si>
  <si>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</si>
  <si>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</si>
  <si>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</si>
  <si>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</si>
  <si>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</si>
  <si>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</si>
  <si>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</si>
  <si>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</si>
  <si>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</si>
  <si>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</si>
  <si>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</si>
  <si>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</si>
  <si>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</si>
  <si>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</si>
  <si>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</si>
  <si>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</si>
  <si>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</si>
  <si>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</si>
  <si>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</si>
  <si>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</si>
  <si>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</si>
  <si>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</si>
  <si>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</si>
  <si>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</si>
  <si>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</si>
  <si>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</si>
  <si>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</si>
  <si>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</si>
  <si>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</si>
  <si>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</si>
  <si>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</si>
  <si>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</si>
  <si>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</si>
  <si>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</si>
  <si>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</si>
  <si>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</si>
  <si>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</si>
  <si>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</si>
  <si>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</si>
  <si>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</si>
  <si>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</si>
  <si>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</si>
  <si>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</si>
  <si>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</si>
  <si>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</si>
  <si>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</si>
  <si>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</si>
  <si>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</si>
  <si>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</si>
  <si>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</si>
  <si>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</si>
  <si>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</si>
  <si>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</si>
  <si>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</si>
  <si>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</si>
  <si>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</si>
  <si>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</si>
  <si>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</si>
  <si>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</si>
  <si>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</si>
  <si>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</si>
  <si>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</si>
  <si>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</si>
  <si>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</si>
  <si>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</si>
  <si>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</si>
  <si>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</si>
  <si>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</si>
  <si>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</si>
  <si>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</si>
  <si>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</si>
  <si>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</si>
  <si>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</si>
  <si>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</si>
  <si>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</si>
  <si>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</si>
  <si>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</si>
  <si>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</si>
  <si>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</si>
  <si>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</si>
  <si>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</si>
  <si>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</si>
  <si>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</si>
  <si>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</si>
  <si>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</si>
  <si>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</si>
  <si>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</si>
  <si>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</si>
  <si>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</si>
  <si>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</si>
  <si>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</si>
  <si>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</si>
  <si>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</si>
  <si>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</si>
  <si>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</si>
  <si>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</si>
  <si>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</si>
  <si>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</si>
  <si>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</si>
  <si>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</si>
  <si>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</si>
  <si>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</si>
  <si>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</si>
  <si>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</si>
  <si>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</si>
  <si>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</si>
  <si>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</si>
  <si>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</si>
  <si>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</si>
  <si>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</si>
  <si>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</si>
  <si>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</si>
  <si>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</si>
  <si>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</si>
  <si>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</si>
  <si>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</si>
  <si>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</si>
  <si>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</si>
  <si>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</si>
  <si>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</si>
  <si>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</si>
  <si>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</si>
  <si>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</si>
  <si>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</si>
  <si>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</si>
  <si>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</si>
  <si>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</si>
  <si>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</si>
  <si>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</si>
  <si>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</si>
  <si>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</si>
  <si>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</si>
  <si>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</si>
  <si>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</si>
  <si>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</si>
  <si>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</si>
  <si>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</si>
  <si>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</si>
  <si>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</si>
  <si>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</si>
  <si>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</si>
  <si>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</si>
  <si>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</si>
  <si>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</si>
  <si>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</si>
  <si>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</si>
  <si>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</si>
  <si>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</si>
  <si>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</si>
  <si>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</si>
  <si>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</si>
  <si>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</si>
  <si>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</si>
  <si>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</si>
  <si>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</si>
  <si>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</si>
  <si>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</si>
  <si>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</si>
  <si>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</si>
  <si>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</si>
  <si>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</si>
  <si>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</si>
  <si>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</si>
  <si>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</si>
  <si>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</si>
  <si>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</si>
  <si>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</si>
  <si>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</si>
  <si>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</si>
  <si>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</si>
  <si>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</si>
  <si>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</si>
  <si>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</si>
  <si>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</si>
  <si>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</si>
  <si>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</si>
  <si>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</si>
  <si>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</si>
  <si>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</si>
  <si>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</si>
  <si>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</si>
  <si>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</si>
  <si>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</si>
  <si>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</si>
  <si>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</si>
  <si>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</si>
  <si>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</si>
  <si>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</si>
  <si>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</si>
  <si>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</si>
  <si>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</si>
  <si>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</si>
  <si>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</si>
  <si>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</si>
  <si>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</si>
  <si>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</si>
  <si>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</si>
  <si>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</si>
  <si>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</si>
  <si>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</si>
  <si>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</si>
  <si>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</si>
  <si>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</si>
  <si>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</si>
  <si>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</si>
  <si>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</si>
  <si>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</si>
  <si>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</si>
  <si>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</si>
  <si>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</si>
  <si>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</si>
  <si>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</si>
  <si>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</si>
  <si>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</si>
  <si>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</si>
  <si>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</si>
  <si>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</si>
  <si>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</si>
  <si>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</si>
  <si>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</si>
  <si>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</si>
  <si>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</si>
  <si>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</si>
  <si>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</si>
  <si>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</si>
  <si>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</si>
  <si>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</si>
  <si>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</si>
  <si>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</si>
  <si>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</si>
  <si>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</si>
  <si>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</si>
  <si>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</si>
  <si>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</si>
  <si>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</si>
  <si>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</si>
  <si>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</si>
  <si>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</si>
  <si>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</si>
  <si>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</si>
  <si>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</si>
  <si>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</si>
  <si>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</si>
  <si>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</si>
  <si>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</si>
  <si>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</si>
  <si>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</si>
  <si>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</si>
  <si>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</si>
  <si>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</si>
  <si>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</si>
  <si>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</si>
  <si>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</si>
  <si>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</si>
  <si>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</si>
  <si>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</si>
  <si>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</si>
  <si>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</si>
  <si>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</si>
  <si>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</si>
  <si>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</si>
  <si>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</si>
  <si>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</si>
  <si>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</si>
  <si>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</si>
  <si>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</si>
  <si>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</si>
  <si>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</si>
  <si>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</si>
  <si>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</si>
  <si>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</si>
  <si>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</si>
  <si>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</si>
  <si>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</si>
  <si>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</si>
  <si>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</si>
  <si>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</si>
  <si>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</si>
  <si>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</si>
  <si>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</si>
  <si>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</si>
  <si>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</si>
  <si>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</si>
  <si>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</si>
  <si>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</si>
  <si>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</si>
  <si>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</si>
  <si>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</si>
  <si>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</si>
  <si>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</si>
  <si>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</si>
  <si>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</si>
  <si>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</si>
  <si>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</si>
  <si>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</si>
  <si>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</si>
  <si>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</si>
  <si>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</si>
  <si>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</si>
  <si>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</si>
  <si>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</si>
  <si>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</si>
  <si>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</si>
  <si>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</si>
  <si>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</si>
  <si>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</si>
  <si>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</si>
  <si>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</si>
  <si>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</si>
  <si>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</si>
  <si>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</si>
  <si>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</si>
  <si>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</si>
  <si>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</si>
  <si>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</si>
  <si>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</si>
  <si>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</si>
  <si>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</si>
  <si>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</si>
  <si>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</si>
  <si>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</si>
  <si>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</si>
  <si>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</si>
  <si>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</si>
  <si>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</si>
  <si>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</si>
  <si>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</si>
  <si>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</si>
  <si>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</si>
  <si>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</si>
  <si>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</si>
  <si>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</si>
  <si>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</si>
  <si>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</si>
  <si>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</si>
  <si>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</si>
  <si>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</si>
  <si>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</si>
  <si>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</si>
  <si>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</si>
  <si>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</si>
  <si>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</si>
  <si>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</si>
  <si>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</si>
  <si>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</si>
  <si>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</si>
  <si>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</si>
  <si>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</si>
  <si>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</si>
  <si>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</si>
  <si>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</si>
  <si>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</si>
  <si>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</si>
  <si>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</si>
  <si>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</si>
  <si>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</si>
  <si>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</si>
  <si>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</si>
  <si>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</si>
  <si>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</si>
  <si>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</si>
  <si>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</si>
  <si>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</si>
  <si>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</si>
  <si>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</si>
  <si>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</si>
  <si>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</si>
  <si>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</si>
  <si>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</si>
  <si>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</si>
  <si>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</si>
  <si>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</si>
  <si>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</si>
  <si>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</si>
  <si>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</si>
  <si>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</si>
  <si>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</si>
  <si>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</si>
  <si>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</si>
  <si>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</si>
  <si>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</si>
  <si>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</si>
  <si>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</si>
  <si>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</si>
  <si>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</si>
  <si>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</si>
  <si>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</si>
  <si>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</si>
  <si>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</si>
  <si>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</si>
  <si>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</si>
  <si>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</si>
  <si>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</si>
  <si>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</si>
  <si>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</si>
  <si>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</si>
  <si>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</si>
  <si>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</si>
  <si>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</si>
  <si>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</si>
  <si>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</si>
  <si>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</si>
  <si>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</si>
  <si>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</si>
  <si>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</si>
  <si>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</si>
  <si>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</si>
  <si>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</si>
  <si>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</si>
  <si>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</si>
  <si>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</si>
  <si>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</si>
  <si>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</si>
  <si>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</si>
  <si>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</si>
  <si>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</si>
  <si>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</si>
  <si>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</si>
  <si>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</si>
  <si>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</si>
  <si>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</si>
  <si>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</si>
  <si>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</si>
  <si>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</si>
  <si>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</si>
  <si>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</si>
  <si>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</si>
  <si>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</si>
  <si>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</si>
  <si>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</si>
  <si>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</si>
  <si>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</si>
  <si>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</si>
  <si>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</si>
  <si>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</si>
  <si>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</si>
  <si>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</si>
  <si>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</si>
  <si>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</si>
  <si>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</si>
  <si>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</si>
  <si>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</si>
  <si>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</si>
  <si>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</si>
  <si>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</si>
  <si>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</si>
  <si>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</si>
  <si>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</si>
  <si>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</si>
  <si>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</si>
  <si>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</si>
  <si>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</si>
  <si>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</si>
  <si>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</si>
  <si>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</si>
  <si>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</si>
  <si>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</si>
  <si>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</si>
  <si>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</si>
  <si>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</si>
  <si>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</si>
  <si>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</si>
  <si>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</si>
  <si>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</si>
  <si>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</si>
  <si>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</si>
  <si>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</si>
  <si>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</si>
  <si>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</si>
  <si>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</si>
  <si>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</si>
  <si>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</si>
  <si>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</si>
  <si>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</si>
  <si>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</si>
  <si>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</si>
  <si>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</si>
  <si>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</si>
  <si>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</si>
  <si>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</si>
  <si>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</si>
  <si>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</si>
  <si>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</si>
  <si>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</si>
  <si>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</si>
  <si>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</si>
  <si>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</si>
  <si>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</si>
  <si>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</si>
  <si>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</si>
  <si>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</si>
  <si>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</si>
  <si>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</si>
  <si>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</si>
  <si>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</si>
  <si>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</si>
  <si>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</si>
  <si>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</si>
  <si>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</si>
  <si>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</si>
  <si>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</si>
  <si>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</si>
  <si>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</si>
  <si>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</si>
  <si>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</si>
  <si>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</si>
  <si>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</si>
  <si>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</si>
  <si>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</si>
  <si>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</si>
  <si>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</si>
  <si>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</si>
  <si>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</si>
  <si>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</si>
  <si>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</si>
  <si>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</si>
  <si>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</si>
  <si>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</si>
  <si>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</si>
  <si>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</si>
  <si>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</si>
  <si>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</si>
  <si>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</si>
  <si>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</si>
  <si>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</si>
  <si>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</si>
  <si>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</si>
  <si>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</si>
  <si>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</si>
  <si>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</si>
  <si>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</si>
  <si>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</si>
  <si>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</si>
  <si>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</si>
  <si>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</si>
  <si>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</si>
  <si>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</si>
  <si>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</si>
  <si>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</si>
  <si>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</si>
  <si>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</si>
  <si>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</si>
  <si>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</si>
  <si>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</si>
  <si>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</si>
  <si>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</si>
  <si>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</si>
  <si>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</si>
  <si>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</si>
  <si>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</si>
  <si>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</si>
  <si>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</si>
  <si>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</si>
  <si>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</si>
  <si>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</si>
  <si>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</si>
  <si>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</si>
  <si>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</si>
  <si>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</si>
  <si>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</si>
  <si>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</si>
  <si>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</si>
  <si>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</si>
  <si>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</si>
  <si>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</si>
  <si>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</si>
  <si>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</si>
  <si>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</si>
  <si>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</si>
  <si>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</si>
  <si>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</si>
  <si>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</si>
  <si>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</si>
  <si>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</si>
  <si>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</si>
  <si>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</si>
  <si>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</si>
  <si>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</si>
  <si>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</si>
  <si>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</si>
  <si>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</si>
  <si>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</si>
  <si>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</si>
  <si>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</si>
  <si>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</si>
  <si>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</si>
  <si>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</si>
  <si>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</si>
  <si>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</si>
  <si>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</si>
  <si>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</si>
  <si>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</si>
  <si>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</si>
  <si>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</si>
  <si>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</si>
  <si>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</si>
  <si>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</si>
  <si>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</si>
  <si>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</si>
  <si>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</si>
  <si>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</si>
  <si>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</si>
  <si>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</si>
  <si>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</si>
  <si>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</si>
  <si>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</si>
  <si>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</si>
  <si>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</si>
  <si>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</si>
  <si>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</si>
  <si>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</si>
  <si>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</si>
  <si>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</si>
  <si>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</si>
  <si>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</si>
  <si>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</si>
  <si>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</si>
  <si>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</si>
  <si>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</si>
  <si>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</si>
  <si>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</si>
  <si>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</si>
  <si>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</si>
  <si>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</si>
  <si>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</si>
  <si>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</si>
  <si>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</si>
  <si>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</si>
  <si>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</si>
  <si>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</si>
  <si>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</si>
  <si>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</si>
  <si>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</si>
  <si>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</si>
  <si>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</si>
  <si>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</si>
  <si>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</si>
  <si>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</si>
  <si>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</si>
  <si>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</si>
  <si>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</si>
  <si>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</si>
  <si>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</si>
  <si>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</si>
  <si>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</si>
  <si>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</si>
  <si>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</si>
  <si>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</si>
  <si>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</si>
  <si>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</si>
  <si>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</si>
  <si>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</si>
  <si>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</si>
  <si>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</si>
  <si>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</si>
  <si>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</si>
  <si>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</si>
  <si>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</si>
  <si>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</si>
  <si>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</si>
  <si>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</si>
  <si>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</si>
  <si>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</si>
  <si>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</si>
  <si>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</si>
  <si>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</si>
  <si>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</si>
  <si>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</si>
  <si>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</si>
  <si>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</si>
  <si>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</si>
  <si>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</si>
  <si>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</si>
  <si>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</si>
  <si>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</si>
  <si>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</si>
  <si>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</si>
  <si>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</si>
  <si>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</si>
  <si>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</si>
  <si>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</si>
  <si>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</si>
  <si>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</si>
  <si>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</si>
  <si>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</si>
  <si>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</si>
  <si>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</si>
  <si>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</si>
  <si>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</si>
  <si>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</si>
  <si>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</si>
  <si>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</si>
  <si>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</si>
  <si>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</si>
  <si>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</si>
  <si>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</si>
  <si>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</si>
  <si>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</si>
  <si>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</si>
  <si>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</si>
  <si>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</si>
  <si>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</si>
  <si>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</si>
  <si>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</si>
  <si>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</si>
  <si>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</si>
  <si>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</si>
  <si>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</si>
  <si>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</si>
  <si>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</si>
  <si>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</si>
  <si>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</si>
  <si>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</si>
  <si>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</si>
  <si>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</si>
  <si>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</si>
  <si>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</si>
  <si>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</si>
  <si>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</si>
  <si>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</si>
  <si>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</si>
  <si>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</si>
  <si>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</si>
  <si>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</si>
  <si>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</si>
  <si>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</si>
  <si>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</si>
  <si>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</si>
  <si>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</si>
  <si>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</si>
  <si>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</si>
  <si>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</si>
  <si>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</si>
  <si>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</si>
  <si>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</si>
  <si>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</si>
  <si>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</si>
  <si>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</si>
  <si>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</si>
  <si>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</si>
  <si>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</si>
  <si>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</si>
  <si>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</si>
  <si>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</si>
  <si>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</si>
  <si>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</si>
  <si>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</si>
  <si>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</si>
  <si>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</si>
  <si>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</si>
  <si>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</si>
  <si>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</si>
  <si>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</si>
  <si>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</si>
  <si>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</si>
  <si>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</si>
  <si>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</si>
  <si>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</si>
  <si>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</si>
  <si>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</si>
  <si>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</si>
  <si>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</si>
  <si>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</si>
  <si>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</si>
  <si>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</si>
  <si>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</si>
  <si>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</si>
  <si>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</si>
  <si>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</si>
  <si>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</si>
  <si>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</si>
  <si>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</si>
  <si>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</si>
  <si>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</si>
  <si>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</si>
  <si>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</si>
  <si>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</si>
  <si>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</si>
  <si>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</si>
  <si>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</si>
  <si>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</si>
  <si>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</si>
  <si>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</si>
  <si>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</si>
  <si>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</si>
  <si>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</si>
  <si>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</si>
  <si>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</si>
  <si>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</si>
  <si>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</si>
  <si>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</si>
  <si>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</si>
  <si>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</si>
  <si>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</si>
  <si>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</si>
  <si>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</si>
  <si>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</si>
  <si>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</si>
  <si>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</si>
  <si>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</si>
  <si>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</si>
  <si>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</si>
  <si>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</si>
  <si>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</si>
  <si>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</si>
  <si>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</si>
  <si>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</si>
  <si>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</si>
  <si>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</si>
  <si>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</si>
  <si>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</si>
  <si>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</si>
  <si>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</si>
  <si>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</si>
  <si>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</si>
  <si>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</si>
  <si>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</si>
  <si>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</si>
  <si>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</si>
  <si>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</si>
  <si>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</si>
  <si>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</si>
  <si>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</si>
  <si>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</si>
  <si>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</si>
  <si>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</si>
  <si>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</si>
  <si>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</si>
  <si>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</si>
  <si>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</si>
  <si>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</si>
  <si>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</si>
  <si>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</si>
  <si>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</si>
  <si>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</si>
  <si>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</si>
  <si>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</si>
  <si>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</si>
  <si>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</si>
  <si>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</si>
  <si>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</si>
  <si>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</si>
  <si>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</si>
  <si>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</si>
  <si>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</si>
  <si>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</si>
  <si>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</si>
  <si>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</si>
  <si>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</si>
  <si>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</si>
  <si>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</si>
  <si>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</si>
  <si>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</si>
  <si>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</si>
  <si>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</si>
  <si>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</si>
  <si>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</si>
  <si>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</si>
  <si>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</si>
  <si>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</si>
  <si>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</si>
  <si>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</si>
  <si>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</si>
  <si>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</si>
  <si>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</si>
  <si>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</si>
  <si>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</si>
  <si>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</si>
  <si>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</si>
  <si>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</si>
  <si>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</si>
  <si>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</si>
  <si>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</si>
  <si>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</si>
  <si>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</si>
  <si>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</si>
  <si>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</si>
  <si>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</si>
  <si>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</si>
  <si>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</si>
  <si>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</si>
  <si>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</si>
  <si>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</si>
  <si>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</si>
  <si>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</si>
  <si>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</si>
  <si>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</si>
  <si>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</si>
  <si>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</si>
  <si>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</si>
  <si>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</si>
  <si>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</si>
  <si>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</si>
  <si>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</si>
  <si>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</si>
  <si>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</si>
  <si>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</si>
  <si>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</si>
  <si>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</si>
  <si>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</si>
  <si>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</si>
  <si>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</si>
  <si>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</si>
  <si>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</si>
  <si>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</si>
  <si>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</si>
  <si>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</si>
  <si>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</si>
  <si>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</si>
  <si>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</si>
  <si>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</si>
  <si>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</si>
  <si>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</si>
  <si>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</si>
  <si>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</si>
  <si>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</si>
  <si>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</si>
  <si>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</si>
  <si>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</si>
  <si>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</si>
  <si>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</si>
  <si>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</si>
  <si>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</si>
  <si>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</si>
  <si>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</si>
  <si>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</si>
  <si>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</si>
  <si>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</si>
  <si>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</si>
  <si>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</si>
  <si>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</si>
  <si>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</si>
  <si>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</si>
  <si>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</si>
  <si>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</si>
  <si>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</si>
  <si>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</si>
  <si>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</si>
  <si>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</si>
  <si>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</si>
  <si>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</si>
  <si>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</si>
  <si>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</si>
  <si>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</si>
  <si>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</si>
  <si>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</si>
  <si>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</si>
  <si>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</si>
  <si>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</si>
  <si>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</si>
  <si>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</si>
  <si>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</si>
  <si>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</si>
  <si>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</si>
  <si>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</si>
  <si>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</si>
  <si>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</si>
  <si>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</si>
  <si>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</si>
  <si>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</si>
  <si>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</si>
  <si>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</si>
  <si>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</si>
  <si>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</si>
  <si>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</si>
  <si>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</si>
  <si>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</si>
  <si>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</si>
  <si>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</si>
  <si>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</si>
  <si>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</si>
  <si>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</si>
  <si>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</si>
  <si>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</si>
  <si>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</si>
  <si>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</si>
  <si>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</si>
  <si>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</si>
  <si>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</si>
  <si>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</si>
  <si>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</si>
  <si>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</si>
  <si>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</si>
  <si>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</si>
  <si>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</si>
  <si>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</si>
  <si>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</si>
  <si>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</si>
  <si>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</si>
  <si>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</si>
  <si>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</si>
  <si>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</si>
  <si>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</si>
  <si>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</si>
  <si>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</si>
  <si>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</si>
  <si>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</si>
  <si>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</si>
  <si>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</si>
  <si>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</si>
  <si>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</si>
  <si>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</si>
  <si>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</si>
  <si>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</si>
  <si>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</si>
  <si>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</si>
  <si>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</si>
  <si>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</si>
  <si>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</si>
  <si>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</si>
  <si>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</si>
  <si>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</si>
  <si>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</si>
  <si>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</si>
  <si>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</si>
  <si>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</si>
  <si>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</si>
  <si>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</si>
  <si>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</si>
  <si>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</si>
  <si>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</si>
  <si>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</si>
  <si>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</si>
  <si>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</si>
  <si>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</si>
  <si>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</si>
  <si>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</si>
  <si>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</si>
  <si>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</si>
  <si>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</si>
  <si>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</si>
  <si>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</si>
  <si>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</si>
  <si>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</si>
  <si>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</si>
  <si>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</si>
  <si>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</si>
  <si>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</si>
  <si>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</si>
  <si>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</si>
  <si>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</si>
  <si>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</si>
  <si>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</si>
  <si>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</si>
  <si>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</si>
  <si>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</si>
  <si>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</si>
  <si>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</si>
  <si>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</si>
  <si>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</si>
  <si>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</si>
  <si>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</si>
  <si>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</si>
  <si>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</si>
  <si>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</si>
  <si>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</si>
  <si>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</si>
  <si>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</si>
  <si>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</si>
  <si>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</si>
  <si>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</si>
  <si>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</si>
  <si>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</si>
  <si>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</si>
  <si>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</si>
  <si>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</si>
  <si>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</si>
  <si>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</si>
  <si>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</si>
  <si>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</si>
  <si>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</si>
  <si>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</si>
  <si>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</si>
  <si>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</si>
  <si>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</si>
  <si>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</si>
  <si>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</si>
  <si>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</si>
  <si>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</si>
  <si>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</si>
  <si>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</si>
  <si>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</si>
  <si>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</si>
  <si>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</si>
  <si>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</si>
  <si>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</si>
  <si>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</si>
  <si>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</si>
  <si>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</si>
  <si>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</si>
  <si>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</si>
  <si>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</si>
  <si>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</si>
  <si>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</si>
  <si>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</si>
  <si>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</si>
  <si>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</si>
  <si>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</si>
  <si>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</si>
  <si>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</si>
  <si>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</si>
  <si>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</si>
  <si>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</si>
  <si>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</si>
  <si>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</si>
  <si>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</si>
  <si>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</si>
  <si>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</si>
  <si>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</si>
  <si>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</si>
  <si>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</si>
  <si>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</si>
  <si>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</si>
  <si>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</si>
  <si>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</si>
  <si>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</si>
  <si>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</si>
  <si>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</si>
  <si>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</si>
  <si>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</si>
  <si>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</si>
  <si>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</si>
  <si>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</si>
  <si>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</si>
  <si>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</si>
  <si>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</si>
  <si>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</si>
  <si>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</si>
  <si>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</si>
  <si>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</si>
  <si>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</si>
  <si>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</si>
  <si>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</si>
  <si>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</si>
  <si>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</si>
  <si>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</si>
  <si>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</si>
  <si>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</si>
  <si>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</si>
  <si>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</si>
  <si>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</si>
  <si>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</si>
  <si>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</si>
  <si>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</si>
  <si>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</si>
  <si>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</si>
  <si>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</si>
  <si>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</si>
  <si>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</si>
  <si>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</si>
  <si>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</si>
  <si>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</si>
  <si>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</si>
  <si>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</si>
  <si>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</si>
  <si>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</si>
  <si>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</si>
  <si>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</si>
  <si>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</si>
  <si>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</si>
  <si>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</si>
  <si>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</si>
  <si>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</si>
  <si>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</si>
  <si>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</si>
  <si>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</si>
  <si>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</si>
  <si>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</si>
  <si>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</si>
  <si>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</si>
  <si>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</si>
  <si>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</si>
  <si>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</si>
  <si>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</si>
  <si>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</si>
  <si>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</si>
  <si>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</si>
  <si>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</si>
  <si>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</si>
  <si>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</si>
  <si>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</si>
  <si>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</si>
  <si>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</si>
  <si>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</si>
  <si>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</si>
  <si>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</si>
  <si>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</si>
  <si>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</si>
  <si>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</si>
  <si>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</si>
  <si>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</si>
  <si>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</si>
  <si>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</si>
  <si>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</si>
  <si>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</si>
  <si>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</si>
  <si>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</si>
  <si>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</si>
  <si>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</si>
  <si>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</si>
  <si>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</si>
  <si>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</si>
  <si>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</si>
  <si>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</si>
  <si>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</si>
  <si>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</si>
  <si>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</si>
  <si>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</si>
  <si>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</si>
  <si>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</si>
  <si>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</si>
  <si>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</si>
  <si>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</si>
  <si>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</si>
  <si>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</si>
  <si>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</si>
  <si>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</si>
  <si>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</si>
  <si>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</si>
  <si>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</si>
  <si>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</si>
  <si>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</si>
  <si>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</si>
  <si>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</si>
  <si>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</si>
  <si>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</si>
  <si>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</si>
  <si>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</si>
  <si>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</si>
  <si>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</si>
  <si>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</si>
  <si>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</si>
  <si>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</si>
  <si>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</si>
  <si>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</si>
  <si>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</si>
  <si>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</si>
  <si>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</si>
  <si>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</si>
  <si>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</si>
  <si>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</si>
  <si>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</si>
  <si>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</si>
  <si>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</si>
  <si>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</si>
  <si>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</si>
  <si>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</si>
  <si>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</si>
  <si>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</si>
  <si>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</si>
  <si>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</si>
  <si>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</si>
  <si>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</si>
  <si>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</si>
  <si>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</si>
  <si>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</si>
  <si>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</si>
  <si>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</si>
  <si>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</si>
  <si>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</si>
  <si>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</si>
  <si>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</si>
  <si>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</si>
  <si>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</si>
  <si>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</si>
  <si>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</si>
  <si>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</si>
  <si>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</si>
  <si>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</si>
  <si>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</si>
  <si>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</si>
  <si>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</si>
  <si>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</si>
  <si>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</si>
  <si>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</si>
  <si>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</si>
  <si>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</si>
  <si>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</si>
  <si>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</si>
  <si>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</si>
  <si>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</si>
  <si>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</si>
  <si>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</si>
  <si>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</si>
  <si>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</si>
  <si>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</si>
  <si>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</si>
  <si>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</si>
  <si>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</si>
  <si>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</si>
  <si>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</si>
  <si>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</si>
  <si>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</si>
  <si>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</si>
  <si>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</si>
  <si>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</si>
  <si>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</si>
  <si>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</si>
  <si>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</si>
  <si>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</si>
  <si>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</si>
  <si>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</si>
  <si>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</si>
  <si>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</si>
  <si>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</si>
  <si>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</si>
  <si>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</si>
  <si>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</si>
  <si>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</si>
  <si>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</si>
  <si>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</si>
  <si>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</si>
  <si>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</si>
  <si>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</si>
  <si>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</si>
  <si>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</si>
  <si>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</si>
  <si>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</si>
  <si>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</si>
  <si>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</si>
  <si>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</si>
  <si>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</si>
  <si>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</si>
  <si>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</si>
  <si>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</si>
  <si>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</si>
  <si>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</si>
  <si>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</si>
  <si>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</si>
  <si>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</si>
  <si>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</si>
  <si>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</si>
  <si>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</si>
  <si>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</si>
  <si>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</si>
  <si>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</si>
  <si>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</si>
  <si>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</si>
  <si>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</si>
  <si>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</si>
  <si>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</si>
  <si>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</si>
  <si>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</si>
  <si>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</si>
  <si>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</si>
  <si>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</si>
  <si>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</si>
  <si>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</si>
  <si>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</si>
  <si>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</si>
  <si>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</si>
  <si>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</si>
  <si>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</si>
  <si>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</si>
  <si>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</si>
  <si>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</si>
  <si>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</si>
  <si>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</si>
  <si>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</si>
  <si>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</si>
  <si>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</si>
  <si>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</si>
  <si>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</si>
  <si>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</si>
  <si>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</si>
  <si>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</si>
  <si>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</si>
  <si>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</si>
  <si>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</si>
  <si>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</si>
  <si>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</si>
  <si>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</si>
  <si>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</si>
  <si>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</si>
  <si>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</si>
  <si>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</si>
  <si>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</si>
  <si>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</si>
  <si>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</si>
  <si>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</si>
  <si>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</si>
  <si>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</si>
  <si>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</si>
  <si>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</si>
  <si>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</si>
  <si>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</si>
  <si>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</si>
  <si>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</si>
  <si>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</si>
  <si>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</si>
  <si>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</si>
  <si>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</si>
  <si>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</si>
  <si>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</si>
  <si>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</si>
  <si>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</si>
  <si>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</si>
  <si>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</si>
  <si>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</si>
  <si>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</si>
  <si>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</si>
  <si>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</si>
  <si>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</si>
  <si>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</si>
  <si>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</si>
  <si>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</si>
  <si>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</si>
  <si>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</si>
  <si>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</si>
  <si>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</si>
  <si>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</si>
  <si>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</si>
  <si>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</si>
  <si>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</si>
  <si>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</si>
  <si>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</si>
  <si>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</si>
  <si>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</si>
  <si>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</si>
  <si>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</si>
  <si>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</si>
  <si>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</si>
  <si>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</si>
  <si>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</si>
  <si>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</si>
  <si>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</si>
  <si>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</si>
  <si>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</si>
  <si>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</si>
  <si>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</si>
  <si>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</si>
  <si>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</si>
  <si>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</si>
  <si>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</si>
  <si>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</si>
  <si>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</si>
  <si>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</si>
  <si>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</si>
  <si>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</si>
  <si>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</si>
  <si>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</si>
  <si>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</si>
  <si>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</si>
  <si>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</si>
  <si>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</si>
  <si>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</si>
  <si>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</si>
  <si>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</si>
  <si>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</si>
  <si>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</si>
  <si>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</si>
  <si>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</si>
  <si>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</si>
  <si>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</si>
  <si>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</si>
  <si>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</si>
  <si>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</si>
  <si>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</si>
  <si>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</si>
  <si>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</si>
  <si>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</si>
  <si>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</si>
  <si>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</si>
  <si>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</si>
  <si>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</si>
  <si>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</si>
  <si>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</si>
  <si>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</si>
  <si>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</si>
  <si>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</si>
  <si>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</si>
  <si>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</si>
  <si>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</si>
  <si>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</si>
  <si>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</si>
  <si>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</si>
  <si>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</si>
  <si>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</si>
  <si>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</si>
  <si>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</si>
  <si>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</si>
  <si>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</si>
  <si>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</si>
  <si>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</si>
  <si>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</si>
  <si>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</si>
  <si>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</si>
  <si>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</si>
  <si>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</si>
  <si>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</si>
  <si>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</si>
  <si>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</si>
  <si>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</si>
  <si>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</si>
  <si>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</si>
  <si>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</si>
  <si>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</si>
  <si>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</si>
  <si>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</si>
  <si>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</si>
  <si>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</si>
  <si>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</si>
  <si>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</si>
  <si>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</si>
  <si>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</si>
  <si>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</si>
  <si>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</si>
  <si>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</si>
  <si>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</si>
  <si>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</si>
  <si>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</si>
  <si>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</si>
  <si>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</si>
  <si>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</si>
  <si>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</si>
  <si>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</si>
  <si>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</si>
  <si>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</si>
  <si>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</si>
  <si>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</si>
  <si>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</si>
  <si>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</si>
  <si>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</si>
  <si>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</si>
  <si>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</si>
  <si>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</si>
  <si>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</si>
  <si>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</si>
  <si>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</si>
  <si>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</si>
  <si>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</si>
  <si>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</si>
  <si>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</si>
  <si>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</si>
  <si>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</si>
  <si>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</si>
  <si>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</si>
  <si>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</si>
  <si>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</si>
  <si>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</si>
  <si>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</si>
  <si>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</si>
  <si>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</si>
  <si>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</si>
  <si>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</si>
  <si>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</si>
  <si>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</si>
  <si>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</si>
  <si>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</si>
  <si>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</si>
  <si>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</si>
  <si>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</si>
  <si>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</si>
  <si>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</si>
  <si>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</si>
  <si>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</si>
  <si>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</si>
  <si>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</si>
  <si>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</si>
  <si>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</si>
  <si>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</si>
  <si>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</si>
  <si>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</si>
  <si>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</si>
  <si>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</si>
  <si>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</si>
  <si>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</si>
  <si>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</si>
  <si>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</si>
  <si>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</si>
  <si>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</si>
  <si>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</si>
  <si>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</si>
  <si>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</si>
  <si>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</si>
  <si>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</si>
  <si>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</si>
  <si>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</si>
  <si>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</si>
  <si>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</si>
  <si>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</si>
  <si>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</si>
  <si>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</si>
  <si>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</si>
  <si>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</si>
  <si>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</si>
  <si>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</si>
  <si>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</si>
  <si>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</si>
  <si>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</si>
  <si>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</si>
  <si>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</si>
  <si>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</si>
  <si>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</si>
  <si>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</si>
  <si>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</si>
  <si>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</si>
  <si>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</si>
  <si>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</si>
  <si>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</si>
  <si>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</si>
  <si>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</si>
  <si>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</si>
  <si>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</si>
  <si>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</si>
  <si>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</si>
  <si>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</si>
  <si>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</si>
  <si>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</si>
  <si>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</si>
  <si>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</si>
  <si>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</si>
  <si>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</si>
  <si>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</si>
  <si>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</si>
  <si>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</si>
  <si>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</si>
  <si>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</si>
  <si>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</si>
  <si>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</si>
  <si>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</si>
  <si>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</si>
  <si>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</si>
  <si>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</si>
  <si>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</si>
  <si>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</si>
  <si>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</si>
  <si>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</si>
  <si>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</si>
  <si>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</si>
  <si>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</si>
  <si>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</si>
  <si>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</si>
  <si>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</si>
  <si>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</si>
  <si>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</si>
  <si>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</si>
  <si>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</si>
  <si>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</si>
  <si>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</si>
  <si>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</si>
  <si>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</si>
  <si>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</si>
  <si>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</si>
  <si>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</si>
  <si>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</si>
  <si>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</si>
  <si>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</si>
  <si>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</si>
  <si>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</si>
  <si>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</si>
  <si>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</si>
  <si>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</si>
  <si>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</si>
  <si>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</si>
  <si>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</si>
  <si>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</si>
  <si>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</si>
  <si>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</si>
  <si>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</si>
  <si>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</si>
  <si>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</si>
  <si>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</si>
  <si>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</si>
  <si>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</si>
  <si>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</si>
  <si>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</si>
  <si>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</si>
  <si>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</si>
  <si>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</si>
  <si>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</si>
  <si>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</si>
  <si>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</si>
  <si>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</si>
  <si>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</si>
  <si>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</si>
  <si>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</si>
  <si>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</si>
  <si>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</si>
  <si>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</si>
  <si>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</si>
  <si>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</si>
  <si>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</si>
  <si>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</si>
  <si>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</si>
  <si>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</si>
  <si>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</si>
  <si>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</si>
  <si>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</si>
  <si>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</si>
  <si>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</si>
  <si>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</si>
  <si>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</si>
  <si>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</si>
  <si>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</si>
  <si>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</si>
  <si>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</si>
  <si>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</si>
  <si>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</si>
  <si>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</si>
  <si>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</si>
  <si>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</si>
  <si>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</si>
  <si>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</si>
  <si>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</si>
  <si>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</si>
  <si>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</si>
  <si>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</si>
  <si>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</si>
  <si>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</si>
  <si>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</si>
  <si>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</si>
  <si>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</si>
  <si>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</si>
  <si>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</si>
  <si>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</si>
  <si>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</si>
  <si>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</si>
  <si>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</si>
  <si>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</si>
  <si>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</si>
  <si>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</si>
  <si>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</si>
  <si>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</si>
  <si>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</si>
  <si>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</si>
  <si>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</si>
  <si>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</si>
  <si>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</si>
  <si>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</si>
  <si>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</si>
  <si>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</si>
  <si>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</si>
  <si>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</si>
  <si>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</si>
  <si>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</si>
  <si>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</si>
  <si>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</si>
  <si>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</si>
  <si>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</si>
  <si>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</si>
  <si>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</si>
  <si>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</si>
  <si>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</si>
  <si>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</si>
  <si>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</si>
  <si>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</si>
  <si>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</si>
  <si>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</si>
  <si>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</si>
  <si>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</si>
  <si>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</si>
  <si>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</si>
  <si>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</si>
  <si>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</si>
  <si>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</si>
  <si>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</si>
  <si>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</si>
  <si>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</si>
  <si>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</si>
  <si>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</si>
  <si>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</si>
  <si>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</si>
  <si>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</si>
  <si>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</si>
  <si>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</si>
  <si>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</si>
  <si>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</si>
  <si>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</si>
  <si>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</si>
  <si>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</si>
  <si>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</si>
  <si>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</si>
  <si>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</si>
  <si>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</si>
  <si>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</si>
  <si>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</si>
  <si>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</si>
  <si>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</si>
  <si>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</si>
  <si>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</si>
  <si>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</si>
  <si>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</si>
  <si>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</si>
  <si>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</si>
  <si>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</si>
  <si>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</si>
  <si>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</si>
  <si>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</si>
  <si>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</si>
  <si>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</si>
  <si>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</si>
  <si>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</si>
  <si>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</si>
  <si>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</si>
  <si>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</si>
  <si>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</si>
  <si>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</si>
  <si>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</si>
  <si>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</si>
  <si>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</si>
  <si>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</si>
  <si>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</si>
  <si>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</si>
  <si>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</si>
  <si>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</si>
  <si>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</si>
  <si>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</si>
  <si>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</si>
  <si>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</si>
  <si>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</si>
  <si>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</si>
  <si>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</si>
  <si>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</si>
  <si>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</si>
  <si>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</si>
  <si>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</si>
  <si>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</si>
  <si>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</si>
  <si>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</si>
  <si>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</si>
  <si>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</si>
  <si>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</si>
  <si>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</si>
  <si>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</si>
  <si>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</si>
  <si>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</si>
  <si>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</si>
  <si>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</si>
  <si>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</si>
  <si>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</si>
  <si>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</si>
  <si>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</si>
  <si>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</si>
  <si>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</si>
  <si>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</si>
  <si>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</si>
  <si>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</si>
  <si>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</si>
  <si>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</si>
  <si>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</si>
  <si>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</si>
  <si>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</si>
  <si>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</si>
  <si>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</si>
  <si>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</si>
  <si>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</si>
  <si>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</si>
  <si>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</si>
  <si>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</si>
  <si>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</si>
  <si>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</si>
  <si>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</si>
  <si>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</si>
  <si>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</si>
  <si>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</si>
  <si>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</si>
  <si>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</si>
  <si>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</si>
  <si>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</si>
  <si>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</si>
  <si>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</si>
  <si>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</si>
  <si>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</si>
  <si>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</si>
  <si>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</si>
  <si>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</si>
  <si>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</si>
  <si>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</si>
  <si>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</si>
  <si>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</si>
  <si>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</si>
  <si>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</si>
  <si>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</si>
  <si>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</si>
  <si>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</si>
  <si>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</si>
  <si>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</si>
  <si>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</si>
  <si>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</si>
  <si>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</si>
  <si>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</si>
  <si>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</si>
  <si>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</si>
  <si>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</si>
  <si>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</si>
  <si>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</si>
  <si>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</si>
  <si>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</si>
  <si>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</si>
  <si>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</si>
  <si>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</si>
  <si>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</si>
  <si>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</si>
  <si>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</si>
  <si>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</si>
  <si>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</si>
  <si>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</si>
  <si>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</si>
  <si>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</si>
  <si>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</si>
  <si>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</si>
  <si>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</si>
  <si>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</si>
  <si>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</si>
  <si>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</si>
  <si>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</si>
  <si>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</si>
  <si>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</si>
  <si>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</si>
  <si>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</si>
  <si>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</si>
  <si>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</si>
  <si>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</si>
  <si>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</si>
  <si>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</si>
  <si>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</si>
  <si>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</si>
  <si>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</si>
  <si>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</si>
  <si>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</si>
  <si>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</si>
  <si>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</si>
  <si>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</si>
  <si>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</si>
  <si>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</si>
  <si>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</si>
  <si>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</si>
  <si>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</si>
  <si>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</si>
  <si>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</si>
  <si>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</si>
  <si>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</si>
  <si>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</si>
  <si>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</si>
  <si>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</si>
  <si>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</si>
  <si>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</si>
  <si>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</si>
  <si>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</si>
  <si>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</si>
  <si>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</si>
  <si>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</si>
  <si>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</si>
  <si>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</si>
  <si>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</si>
  <si>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</si>
  <si>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</si>
  <si>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</si>
  <si>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</si>
  <si>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</si>
  <si>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</si>
  <si>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</si>
  <si>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</si>
  <si>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</si>
  <si>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</si>
  <si>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</si>
  <si>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</si>
  <si>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</si>
  <si>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</si>
  <si>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</si>
  <si>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</si>
  <si>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</si>
  <si>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</si>
  <si>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</si>
  <si>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</si>
  <si>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</si>
  <si>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</si>
  <si>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</si>
  <si>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</si>
  <si>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</si>
  <si>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</si>
  <si>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</si>
  <si>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</si>
  <si>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</si>
  <si>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</si>
  <si>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</si>
  <si>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</si>
  <si>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</si>
  <si>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</si>
  <si>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</si>
  <si>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</si>
  <si>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</si>
  <si>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</si>
  <si>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</si>
  <si>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</si>
  <si>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</si>
  <si>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</si>
  <si>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</si>
  <si>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</si>
  <si>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</si>
  <si>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</si>
  <si>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</si>
  <si>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</si>
  <si>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</si>
  <si>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</si>
  <si>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</si>
  <si>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</si>
  <si>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</si>
  <si>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</si>
  <si>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</si>
  <si>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</si>
  <si>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</si>
  <si>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</si>
  <si>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</si>
  <si>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</si>
  <si>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</si>
  <si>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</si>
  <si>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</si>
  <si>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</si>
  <si>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</si>
  <si>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</si>
  <si>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</si>
  <si>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</si>
  <si>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</si>
  <si>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</si>
  <si>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</si>
  <si>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</si>
  <si>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</si>
  <si>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</si>
  <si>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</si>
  <si>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</si>
  <si>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</si>
  <si>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</si>
  <si>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</si>
  <si>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</si>
  <si>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</si>
  <si>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</si>
  <si>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</si>
  <si>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</si>
  <si>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</si>
  <si>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</si>
  <si>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</si>
  <si>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</si>
  <si>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</si>
  <si>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</si>
  <si>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</si>
  <si>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</si>
  <si>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</si>
  <si>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</si>
  <si>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</si>
  <si>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</si>
  <si>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</si>
  <si>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</si>
  <si>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</si>
  <si>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</si>
  <si>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</si>
  <si>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</si>
  <si>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</si>
  <si>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</si>
  <si>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</si>
  <si>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</si>
  <si>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</si>
  <si>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</si>
  <si>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</si>
  <si>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</si>
  <si>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</si>
  <si>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</si>
  <si>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</si>
  <si>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</si>
  <si>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</si>
  <si>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</si>
  <si>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</si>
  <si>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</si>
  <si>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</si>
  <si>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</si>
  <si>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</si>
  <si>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</si>
  <si>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</si>
  <si>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</si>
  <si>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</si>
  <si>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</si>
  <si>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</si>
  <si>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</si>
  <si>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</si>
  <si>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</si>
  <si>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</si>
  <si>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</si>
  <si>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</si>
  <si>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</si>
  <si>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</si>
  <si>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</si>
  <si>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</si>
  <si>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</si>
  <si>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</si>
  <si>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</si>
  <si>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</si>
  <si>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</si>
  <si>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</si>
  <si>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</si>
  <si>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</si>
  <si>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</si>
  <si>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</si>
  <si>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</si>
  <si>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</si>
  <si>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</si>
  <si>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</si>
  <si>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</si>
  <si>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</si>
  <si>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</si>
  <si>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</si>
  <si>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</si>
  <si>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</si>
  <si>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</si>
  <si>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</si>
  <si>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</si>
  <si>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</si>
  <si>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</si>
  <si>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</si>
  <si>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</si>
  <si>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</si>
  <si>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</si>
  <si>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</si>
  <si>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</si>
  <si>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</si>
  <si>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</si>
  <si>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</si>
  <si>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</si>
  <si>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</si>
  <si>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</si>
  <si>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</si>
  <si>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</si>
  <si>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</si>
  <si>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</si>
  <si>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</si>
  <si>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</si>
  <si>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</si>
  <si>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</si>
  <si>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</si>
  <si>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</si>
  <si>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</si>
  <si>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</si>
  <si>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</si>
  <si>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</si>
  <si>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</si>
  <si>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</si>
  <si>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</si>
  <si>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</si>
  <si>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</si>
  <si>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</si>
  <si>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</si>
  <si>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</si>
  <si>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</si>
  <si>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</si>
  <si>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</si>
  <si>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</si>
  <si>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</si>
  <si>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</si>
  <si>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</si>
  <si>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</si>
  <si>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</si>
  <si>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</si>
  <si>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</si>
  <si>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</si>
  <si>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</si>
  <si>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</si>
  <si>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</si>
  <si>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</si>
  <si>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</si>
  <si>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</si>
  <si>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</si>
  <si>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</si>
  <si>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</si>
  <si>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</si>
  <si>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</si>
  <si>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</si>
  <si>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</si>
  <si>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</si>
  <si>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</si>
  <si>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</si>
  <si>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</si>
  <si>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</si>
  <si>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</si>
  <si>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</si>
  <si>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</si>
  <si>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</si>
  <si>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</si>
  <si>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</si>
  <si>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</si>
  <si>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</si>
  <si>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</si>
  <si>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</si>
  <si>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</si>
  <si>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</si>
  <si>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</si>
  <si>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</si>
  <si>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</si>
  <si>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</si>
  <si>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</si>
  <si>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</si>
  <si>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</si>
  <si>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</si>
  <si>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</si>
  <si>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</si>
  <si>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</si>
  <si>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</si>
  <si>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</si>
  <si>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</si>
  <si>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</si>
  <si>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</si>
  <si>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</si>
  <si>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</si>
  <si>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</si>
  <si>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</si>
  <si>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</si>
  <si>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</si>
  <si>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</si>
  <si>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</si>
  <si>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</si>
  <si>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</si>
  <si>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</si>
  <si>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</si>
  <si>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</si>
  <si>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</si>
  <si>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</si>
  <si>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</si>
  <si>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</si>
  <si>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</si>
  <si>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</si>
  <si>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</si>
  <si>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</si>
  <si>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</si>
  <si>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</si>
  <si>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</si>
  <si>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</si>
  <si>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</si>
  <si>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</si>
  <si>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</si>
  <si>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</si>
  <si>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</si>
  <si>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</si>
  <si>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</si>
  <si>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</si>
  <si>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</si>
  <si>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</si>
  <si>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</si>
  <si>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</si>
  <si>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</si>
  <si>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</si>
  <si>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</si>
  <si>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</si>
  <si>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</si>
  <si>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</si>
  <si>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</si>
  <si>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</si>
  <si>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</si>
  <si>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</si>
  <si>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</si>
  <si>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</si>
  <si>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</si>
  <si>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</si>
  <si>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</si>
  <si>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</si>
  <si>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</si>
  <si>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</si>
  <si>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</si>
  <si>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</si>
  <si>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</si>
  <si>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</si>
  <si>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</si>
  <si>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</si>
  <si>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</si>
  <si>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</si>
  <si>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</si>
  <si>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</si>
  <si>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</si>
  <si>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</si>
  <si>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</si>
  <si>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</si>
  <si>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</si>
  <si>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</si>
  <si>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</si>
  <si>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</si>
  <si>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</si>
  <si>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</si>
  <si>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</si>
  <si>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</si>
  <si>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</si>
  <si>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</si>
  <si>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</si>
  <si>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</si>
  <si>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</si>
  <si>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</si>
  <si>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</si>
  <si>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</si>
  <si>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</si>
  <si>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</si>
  <si>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</si>
  <si>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</si>
  <si>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</si>
  <si>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</si>
  <si>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</si>
  <si>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</si>
  <si>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</si>
  <si>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</si>
  <si>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</si>
  <si>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</si>
  <si>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</si>
  <si>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</si>
  <si>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</si>
  <si>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</si>
  <si>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</si>
  <si>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</si>
  <si>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</si>
  <si>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</si>
  <si>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</si>
  <si>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</si>
  <si>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</si>
  <si>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</si>
  <si>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</si>
  <si>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</si>
  <si>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</si>
  <si>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</si>
  <si>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</si>
  <si>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</si>
  <si>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</si>
  <si>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</si>
  <si>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</si>
  <si>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</si>
  <si>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</si>
  <si>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</si>
  <si>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</si>
  <si>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</si>
  <si>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</si>
  <si>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</si>
  <si>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</si>
  <si>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</si>
  <si>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</si>
  <si>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</si>
  <si>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</si>
  <si>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</si>
  <si>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</si>
  <si>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</si>
  <si>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</si>
  <si>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</si>
  <si>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</si>
  <si>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</si>
  <si>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</si>
  <si>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</si>
  <si>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</si>
  <si>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</si>
  <si>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</si>
  <si>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</si>
  <si>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</si>
  <si>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</si>
  <si>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</si>
  <si>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</si>
  <si>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</si>
  <si>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</si>
  <si>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</si>
  <si>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</si>
  <si>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</si>
  <si>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</si>
  <si>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</si>
  <si>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</si>
  <si>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</si>
  <si>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</si>
  <si>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</si>
  <si>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</si>
  <si>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</si>
  <si>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</si>
  <si>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</si>
  <si>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</si>
  <si>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</si>
  <si>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</si>
  <si>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</si>
  <si>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</si>
  <si>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</si>
  <si>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</si>
  <si>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</si>
  <si>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</si>
  <si>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</si>
  <si>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</si>
  <si>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</si>
  <si>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</si>
  <si>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</si>
  <si>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</si>
  <si>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</si>
  <si>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</si>
  <si>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</si>
  <si>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</si>
  <si>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</si>
  <si>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</si>
  <si>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</si>
  <si>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</si>
  <si>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</si>
  <si>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</si>
  <si>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</si>
  <si>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</si>
  <si>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</si>
  <si>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</si>
  <si>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</si>
  <si>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</si>
  <si>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</si>
  <si>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</si>
  <si>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</si>
  <si>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</si>
  <si>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</si>
  <si>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</si>
  <si>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</si>
  <si>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</si>
  <si>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</si>
  <si>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</si>
  <si>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</si>
  <si>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</si>
  <si>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</si>
  <si>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</si>
  <si>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</si>
  <si>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</si>
  <si>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</si>
  <si>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</si>
  <si>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</si>
  <si>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</si>
  <si>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</si>
  <si>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</si>
  <si>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</si>
  <si>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</si>
  <si>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</si>
  <si>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</si>
  <si>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</si>
  <si>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</si>
  <si>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</si>
  <si>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</si>
  <si>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</si>
  <si>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</si>
  <si>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</si>
  <si>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</si>
  <si>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</si>
  <si>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</si>
  <si>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</si>
  <si>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</si>
  <si>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</si>
  <si>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</si>
  <si>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</si>
  <si>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</si>
  <si>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</si>
  <si>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</si>
  <si>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</si>
  <si>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</si>
  <si>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</si>
  <si>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</si>
  <si>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</si>
  <si>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</si>
  <si>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</si>
  <si>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</si>
  <si>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</si>
  <si>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</si>
  <si>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</si>
  <si>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</si>
  <si>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</si>
  <si>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</si>
  <si>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</si>
  <si>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</si>
  <si>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</si>
  <si>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</si>
  <si>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</si>
  <si>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</si>
  <si>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</si>
  <si>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</si>
  <si>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</si>
  <si>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</si>
  <si>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</si>
  <si>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</si>
  <si>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</si>
  <si>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</si>
  <si>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</si>
  <si>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</si>
  <si>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</si>
  <si>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</si>
  <si>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</si>
  <si>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</si>
  <si>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</si>
  <si>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</si>
  <si>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</si>
  <si>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</si>
  <si>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</si>
  <si>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</si>
  <si>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</si>
  <si>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</si>
  <si>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</si>
  <si>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</si>
  <si>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</si>
  <si>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</si>
  <si>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</si>
  <si>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</si>
  <si>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</si>
  <si>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</si>
  <si>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</si>
  <si>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</si>
  <si>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</si>
  <si>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</si>
  <si>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</si>
  <si>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</si>
  <si>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</si>
  <si>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</si>
  <si>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</si>
  <si>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</si>
  <si>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</si>
  <si>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</si>
  <si>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</si>
  <si>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</si>
  <si>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</si>
  <si>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</si>
  <si>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</si>
  <si>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</si>
  <si>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</si>
  <si>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</si>
  <si>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</si>
  <si>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</si>
  <si>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</si>
  <si>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</si>
  <si>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</si>
  <si>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</si>
  <si>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</si>
  <si>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</si>
  <si>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</si>
  <si>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</si>
  <si>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</si>
  <si>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</si>
  <si>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</si>
  <si>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</si>
  <si>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</si>
  <si>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</si>
  <si>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</si>
  <si>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</si>
  <si>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</si>
  <si>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</si>
  <si>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</si>
  <si>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</si>
  <si>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</si>
  <si>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</si>
  <si>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</si>
  <si>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</si>
  <si>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</si>
  <si>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</si>
  <si>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</si>
  <si>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</si>
  <si>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</si>
  <si>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</si>
  <si>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</si>
  <si>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</si>
  <si>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</si>
  <si>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</si>
  <si>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</si>
  <si>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</si>
  <si>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</si>
  <si>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</si>
  <si>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</si>
  <si>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</si>
  <si>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</si>
  <si>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</si>
  <si>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</si>
  <si>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</si>
  <si>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</si>
  <si>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</si>
  <si>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</si>
  <si>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</si>
  <si>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</si>
  <si>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</si>
  <si>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</si>
  <si>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</si>
  <si>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</si>
  <si>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</si>
  <si>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</si>
  <si>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</si>
  <si>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</si>
  <si>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</si>
  <si>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</si>
  <si>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</si>
  <si>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</si>
  <si>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</si>
  <si>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</si>
  <si>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</si>
  <si>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</si>
  <si>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</si>
  <si>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</si>
  <si>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</si>
  <si>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</si>
  <si>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</si>
  <si>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</si>
  <si>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</si>
  <si>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</si>
  <si>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</si>
  <si>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</si>
  <si>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</si>
  <si>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</si>
  <si>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</si>
  <si>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</si>
  <si>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</si>
  <si>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</si>
  <si>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</si>
  <si>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</si>
  <si>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</si>
  <si>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</si>
  <si>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</si>
  <si>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</si>
  <si>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</si>
  <si>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</si>
  <si>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</si>
  <si>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</si>
  <si>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</si>
  <si>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</si>
  <si>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</si>
  <si>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</si>
  <si>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</si>
  <si>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</si>
  <si>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</si>
  <si>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</si>
  <si>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</si>
  <si>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</si>
  <si>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</si>
  <si>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</si>
  <si>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</si>
  <si>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</si>
  <si>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</si>
  <si>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</si>
  <si>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</si>
  <si>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</si>
  <si>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</si>
  <si>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</si>
  <si>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</si>
  <si>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</si>
  <si>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</si>
  <si>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</si>
  <si>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</si>
  <si>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</si>
  <si>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</si>
  <si>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</si>
  <si>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</si>
  <si>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</si>
  <si>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</si>
  <si>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</si>
  <si>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</si>
  <si>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</si>
  <si>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</si>
  <si>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</si>
  <si>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</si>
  <si>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</si>
  <si>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</si>
  <si>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</si>
  <si>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</si>
  <si>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</si>
  <si>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</si>
  <si>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</si>
  <si>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</si>
  <si>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</si>
  <si>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</si>
  <si>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</si>
  <si>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</si>
  <si>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</si>
  <si>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</si>
  <si>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</si>
  <si>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</si>
  <si>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</si>
  <si>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</si>
  <si>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</si>
  <si>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</si>
  <si>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</si>
  <si>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</si>
  <si>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</si>
  <si>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</si>
  <si>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</si>
  <si>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</si>
  <si>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</si>
  <si>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</si>
  <si>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</si>
  <si>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</si>
  <si>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</si>
  <si>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</si>
  <si>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</si>
  <si>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</si>
  <si>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</si>
  <si>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</si>
  <si>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</si>
  <si>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</si>
  <si>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</si>
  <si>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</si>
  <si>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</si>
  <si>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</si>
  <si>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</si>
  <si>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</si>
  <si>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</si>
  <si>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</si>
  <si>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</si>
  <si>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</si>
  <si>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</si>
  <si>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</si>
  <si>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</si>
  <si>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</si>
  <si>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</si>
  <si>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</si>
  <si>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</si>
  <si>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</si>
  <si>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</si>
  <si>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</si>
  <si>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</si>
  <si>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</si>
  <si>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</si>
  <si>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</si>
  <si>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</si>
  <si>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</si>
  <si>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</si>
  <si>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</si>
  <si>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</si>
  <si>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</si>
  <si>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</si>
  <si>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</si>
  <si>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</si>
  <si>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</si>
  <si>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</si>
  <si>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</si>
  <si>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</si>
  <si>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</si>
  <si>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</si>
  <si>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</si>
  <si>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</si>
  <si>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</si>
  <si>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</si>
  <si>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</si>
  <si>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</si>
  <si>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</si>
  <si>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</si>
  <si>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</si>
  <si>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</si>
  <si>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</si>
  <si>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</si>
  <si>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</si>
  <si>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</si>
  <si>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</si>
  <si>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</si>
  <si>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</si>
  <si>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</si>
  <si>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</si>
  <si>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</si>
  <si>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</si>
  <si>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</si>
  <si>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</si>
  <si>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</si>
  <si>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</si>
  <si>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</si>
  <si>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</si>
  <si>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</si>
  <si>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</si>
  <si>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</si>
  <si>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</si>
  <si>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</si>
  <si>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</si>
  <si>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</si>
  <si>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</si>
  <si>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</si>
  <si>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</si>
  <si>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</si>
  <si>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</si>
  <si>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</si>
  <si>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</si>
  <si>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</si>
  <si>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</si>
  <si>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</si>
  <si>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</si>
  <si>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</si>
  <si>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</si>
  <si>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</si>
  <si>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</si>
  <si>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</si>
  <si>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</si>
  <si>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</si>
  <si>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</si>
  <si>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</si>
  <si>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</si>
  <si>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</si>
  <si>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</si>
  <si>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</si>
  <si>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</si>
  <si>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</si>
  <si>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</si>
  <si>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</si>
  <si>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</si>
  <si>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</si>
  <si>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</si>
  <si>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</si>
  <si>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</si>
  <si>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</si>
  <si>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</si>
  <si>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</si>
  <si>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</si>
  <si>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</si>
  <si>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</si>
  <si>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</si>
  <si>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</si>
  <si>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</si>
  <si>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</si>
  <si>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</si>
  <si>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</si>
  <si>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</si>
  <si>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</si>
  <si>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</si>
  <si>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</si>
  <si>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</si>
  <si>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</si>
  <si>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</si>
  <si>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</si>
  <si>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</si>
  <si>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</si>
  <si>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</si>
  <si>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</si>
  <si>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</si>
  <si>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</si>
  <si>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</si>
  <si>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</si>
  <si>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</si>
  <si>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</si>
  <si>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</si>
  <si>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</si>
  <si>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</si>
  <si>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</si>
  <si>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</si>
  <si>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</si>
  <si>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</si>
  <si>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</si>
  <si>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</si>
  <si>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</si>
  <si>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</si>
  <si>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</si>
  <si>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</si>
  <si>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</si>
  <si>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</si>
  <si>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</si>
  <si>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</si>
  <si>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</si>
  <si>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</si>
  <si>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</si>
  <si>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</si>
  <si>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</si>
  <si>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</si>
  <si>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</si>
  <si>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</si>
  <si>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</si>
  <si>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</si>
  <si>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</si>
  <si>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</si>
  <si>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</si>
  <si>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</si>
  <si>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</si>
  <si>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</si>
  <si>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</si>
  <si>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</si>
  <si>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</si>
  <si>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</si>
  <si>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</si>
  <si>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</si>
  <si>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</si>
  <si>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</si>
  <si>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</si>
  <si>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</si>
  <si>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</si>
  <si>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</si>
  <si>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</si>
  <si>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</si>
  <si>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</si>
  <si>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</si>
  <si>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</si>
  <si>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</si>
  <si>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</si>
  <si>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</si>
  <si>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</si>
  <si>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</si>
  <si>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</si>
  <si>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</si>
  <si>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</si>
  <si>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</si>
  <si>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</si>
  <si>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</si>
  <si>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</si>
  <si>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</si>
  <si>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</si>
  <si>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</si>
  <si>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</si>
  <si>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</si>
  <si>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</si>
  <si>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</si>
  <si>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</si>
  <si>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</si>
  <si>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</si>
  <si>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</si>
  <si>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</si>
  <si>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</si>
  <si>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</si>
  <si>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</si>
  <si>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</si>
  <si>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</si>
  <si>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</si>
  <si>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</si>
  <si>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</si>
  <si>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</si>
  <si>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</si>
  <si>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</si>
  <si>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</si>
  <si>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</si>
  <si>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</si>
  <si>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</si>
  <si>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</si>
  <si>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</si>
  <si>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</si>
  <si>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</si>
  <si>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</si>
  <si>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</si>
  <si>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</si>
  <si>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</si>
  <si>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</si>
  <si>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</si>
  <si>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</si>
  <si>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</si>
  <si>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</si>
  <si>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</si>
  <si>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</si>
  <si>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</si>
  <si>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</si>
  <si>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</si>
  <si>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</si>
  <si>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</si>
  <si>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</si>
  <si>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</si>
  <si>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</si>
  <si>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</si>
  <si>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</si>
  <si>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</si>
  <si>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</si>
  <si>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</si>
  <si>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</si>
  <si>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</si>
  <si>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</si>
  <si>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</si>
  <si>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</si>
  <si>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</si>
  <si>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</si>
  <si>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</si>
  <si>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</si>
  <si>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</si>
  <si>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</si>
  <si>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</si>
  <si>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</si>
  <si>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</si>
  <si>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</si>
  <si>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</si>
  <si>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</si>
  <si>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</si>
  <si>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</si>
  <si>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</si>
  <si>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</si>
  <si>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</si>
  <si>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</si>
  <si>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</si>
  <si>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</si>
  <si>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</si>
  <si>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</si>
  <si>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</si>
  <si>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</si>
  <si>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</si>
  <si>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</si>
  <si>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</si>
  <si>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</si>
  <si>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</si>
  <si>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</si>
  <si>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</si>
  <si>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</si>
  <si>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</si>
  <si>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</si>
  <si>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</si>
  <si>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</si>
  <si>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</si>
  <si>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</si>
  <si>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</si>
  <si>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</si>
  <si>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</si>
  <si>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</si>
  <si>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</si>
  <si>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</si>
  <si>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</si>
  <si>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</si>
  <si>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</si>
  <si>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</si>
  <si>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</si>
  <si>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</si>
  <si>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</si>
  <si>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</si>
  <si>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</si>
  <si>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</si>
  <si>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</si>
  <si>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</si>
  <si>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</si>
  <si>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</si>
  <si>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</si>
  <si>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</si>
  <si>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</si>
  <si>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</si>
  <si>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</si>
  <si>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</si>
  <si>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</si>
  <si>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</si>
  <si>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</si>
  <si>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</si>
  <si>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</si>
  <si>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</si>
  <si>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</si>
  <si>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</si>
  <si>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</si>
  <si>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</si>
  <si>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</si>
  <si>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</si>
  <si>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</si>
  <si>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</si>
  <si>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</si>
  <si>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</si>
  <si>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</si>
  <si>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</si>
  <si>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</si>
  <si>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</si>
  <si>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</si>
  <si>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</si>
  <si>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</si>
  <si>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</si>
  <si>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</si>
  <si>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</si>
  <si>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</si>
  <si>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</si>
  <si>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</si>
  <si>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</si>
  <si>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</si>
  <si>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</si>
  <si>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</si>
  <si>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</si>
  <si>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</si>
  <si>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</si>
  <si>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</si>
  <si>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</si>
  <si>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</si>
  <si>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</si>
  <si>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</si>
  <si>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</si>
  <si>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</si>
  <si>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</si>
  <si>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</si>
  <si>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</si>
  <si>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</si>
  <si>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</si>
  <si>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</si>
  <si>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</si>
  <si>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</si>
  <si>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</si>
  <si>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</si>
  <si>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</si>
  <si>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</si>
  <si>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</si>
  <si>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</si>
  <si>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</si>
  <si>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</si>
  <si>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</si>
  <si>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</si>
  <si>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</si>
  <si>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</si>
  <si>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</si>
  <si>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</si>
  <si>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</si>
  <si>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</si>
  <si>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</si>
  <si>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</si>
  <si>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</si>
  <si>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</si>
  <si>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</si>
  <si>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</si>
  <si>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</si>
  <si>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</si>
  <si>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</si>
  <si>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</si>
  <si>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</si>
  <si>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</si>
  <si>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</si>
  <si>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</si>
  <si>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</si>
  <si>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</si>
  <si>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</si>
  <si>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</si>
  <si>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</si>
  <si>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</si>
  <si>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</si>
  <si>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</si>
  <si>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</si>
  <si>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</si>
  <si>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</si>
  <si>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</si>
  <si>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</si>
  <si>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</si>
  <si>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</si>
  <si>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</si>
  <si>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</si>
  <si>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</si>
  <si>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</si>
  <si>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</si>
  <si>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</si>
  <si>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</si>
  <si>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</si>
  <si>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</si>
  <si>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</si>
  <si>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</si>
  <si>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</si>
  <si>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</si>
  <si>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</si>
  <si>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</si>
  <si>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</si>
  <si>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</si>
  <si>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</si>
  <si>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</si>
  <si>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</si>
  <si>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</si>
  <si>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</si>
  <si>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</si>
  <si>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</si>
  <si>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</si>
  <si>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</si>
  <si>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</si>
  <si>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</si>
  <si>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</si>
  <si>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</si>
  <si>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</si>
  <si>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</si>
  <si>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</si>
  <si>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</si>
  <si>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</si>
  <si>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</si>
  <si>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</si>
  <si>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</si>
  <si>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</si>
  <si>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</si>
  <si>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</si>
  <si>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</si>
  <si>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</si>
  <si>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</si>
  <si>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</si>
  <si>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</si>
  <si>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</si>
  <si>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</si>
  <si>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</si>
  <si>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</si>
  <si>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</si>
  <si>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</si>
  <si>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</si>
  <si>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</si>
  <si>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</si>
  <si>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</si>
  <si>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</si>
  <si>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</si>
  <si>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</si>
  <si>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</si>
  <si>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</si>
  <si>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</si>
  <si>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</si>
  <si>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</si>
  <si>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</si>
  <si>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</si>
  <si>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</si>
  <si>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</si>
  <si>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</si>
  <si>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</si>
  <si>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</si>
  <si>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</si>
  <si>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</si>
  <si>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</si>
  <si>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</si>
  <si>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</si>
  <si>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</si>
  <si>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</si>
  <si>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</si>
  <si>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</si>
  <si>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</si>
  <si>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</si>
  <si>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</si>
  <si>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</si>
  <si>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</si>
  <si>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</si>
  <si>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</si>
  <si>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</si>
  <si>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</si>
  <si>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</si>
  <si>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</si>
  <si>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</si>
  <si>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</si>
  <si>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</si>
  <si>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</si>
  <si>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</si>
  <si>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</si>
  <si>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</si>
  <si>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</si>
  <si>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</si>
  <si>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</si>
  <si>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</si>
  <si>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</si>
  <si>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</si>
  <si>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</si>
  <si>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</si>
  <si>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</si>
  <si>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</si>
  <si>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</si>
  <si>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</si>
  <si>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</si>
  <si>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</si>
  <si>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</si>
  <si>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</si>
  <si>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</si>
  <si>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</si>
  <si>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</si>
  <si>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</si>
  <si>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</si>
  <si>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</si>
  <si>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</si>
  <si>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</si>
  <si>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</si>
  <si>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</si>
  <si>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</si>
  <si>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</si>
  <si>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</si>
  <si>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</si>
  <si>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</si>
  <si>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</si>
  <si>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</si>
  <si>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</si>
  <si>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</si>
  <si>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</si>
  <si>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</si>
  <si>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</si>
  <si>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</si>
  <si>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</si>
  <si>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</si>
  <si>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</si>
  <si>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</si>
  <si>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</si>
  <si>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</si>
  <si>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</si>
  <si>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</si>
  <si>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</si>
  <si>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</si>
  <si>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</si>
  <si>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</si>
  <si>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</si>
  <si>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</si>
  <si>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</si>
  <si>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</si>
  <si>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</si>
  <si>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</si>
  <si>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</si>
  <si>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</si>
  <si>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</si>
  <si>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</si>
  <si>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</si>
  <si>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</si>
  <si>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</si>
  <si>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</si>
  <si>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</si>
  <si>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</si>
  <si>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</si>
  <si>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</si>
  <si>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</si>
  <si>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</si>
  <si>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</si>
  <si>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</si>
  <si>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</si>
  <si>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</si>
  <si>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</si>
  <si>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</si>
  <si>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</si>
  <si>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</si>
  <si>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</si>
  <si>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</si>
  <si>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</si>
  <si>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</si>
  <si>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</si>
  <si>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</si>
  <si>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</si>
  <si>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</si>
  <si>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</si>
  <si>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</si>
  <si>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</si>
  <si>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</si>
  <si>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</si>
  <si>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</si>
  <si>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</si>
  <si>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</si>
  <si>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</si>
  <si>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</si>
  <si>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</si>
  <si>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</si>
  <si>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</si>
  <si>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</si>
  <si>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</si>
  <si>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</si>
  <si>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</si>
  <si>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</si>
  <si>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</si>
  <si>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</si>
  <si>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</si>
  <si>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</si>
  <si>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</si>
  <si>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</si>
  <si>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</si>
  <si>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</si>
  <si>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</si>
  <si>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</si>
  <si>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</si>
  <si>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</si>
  <si>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</si>
  <si>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</si>
  <si>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</si>
  <si>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</si>
  <si>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</si>
  <si>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</si>
  <si>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</si>
  <si>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</si>
  <si>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</si>
  <si>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</si>
  <si>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</si>
  <si>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</si>
  <si>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</si>
  <si>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</si>
  <si>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</si>
  <si>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</si>
  <si>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</si>
  <si>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</si>
  <si>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</si>
  <si>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2024-1-0305-P01DYGJ1</t>
    <phoneticPr fontId="6" type="noConversion"/>
  </si>
  <si>
    <t>郑燚</t>
  </si>
  <si>
    <t>吴薇</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</si>
  <si>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</si>
  <si>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</si>
  <si>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</si>
  <si>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</si>
  <si>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何帆</t>
    <phoneticPr fontId="6" type="noConversion"/>
  </si>
  <si>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</si>
  <si>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</si>
  <si>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</si>
  <si>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</si>
  <si>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</si>
  <si>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</si>
  <si>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</si>
  <si>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</si>
  <si>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</si>
  <si>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</si>
  <si>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</si>
  <si>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</si>
  <si>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</si>
  <si>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</si>
  <si>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</si>
  <si>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</si>
  <si>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</si>
  <si>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</si>
  <si>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</si>
  <si>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</si>
  <si>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</si>
  <si>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</si>
  <si>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</si>
  <si>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</si>
  <si>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</si>
  <si>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</si>
  <si>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</si>
  <si>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</si>
  <si>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</si>
  <si>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</si>
  <si>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</si>
  <si>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</si>
  <si>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</si>
  <si>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</si>
  <si>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</si>
  <si>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</si>
  <si>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</si>
  <si>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</si>
  <si>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</si>
  <si>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</si>
  <si>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</si>
  <si>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</si>
  <si>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</si>
  <si>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</si>
  <si>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</si>
  <si>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</si>
  <si>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</si>
  <si>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</si>
  <si>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</si>
  <si>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</si>
  <si>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</si>
  <si>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</si>
  <si>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</si>
  <si>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</si>
  <si>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</si>
  <si>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</si>
  <si>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</si>
  <si>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</si>
  <si>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</si>
  <si>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</si>
  <si>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</si>
  <si>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</si>
  <si>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</si>
  <si>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</si>
  <si>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</si>
  <si>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</si>
  <si>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</si>
  <si>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</si>
  <si>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</si>
  <si>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</si>
  <si>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</si>
  <si>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</si>
  <si>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</si>
  <si>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</si>
  <si>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</si>
  <si>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</si>
  <si>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</si>
  <si>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</si>
  <si>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</si>
  <si>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</si>
  <si>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</si>
  <si>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</si>
  <si>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</si>
  <si>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</si>
  <si>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</si>
  <si>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</si>
  <si>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</si>
  <si>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</si>
  <si>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</si>
  <si>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</si>
  <si>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</si>
  <si>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</si>
  <si>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</si>
  <si>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</si>
  <si>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</si>
  <si>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</si>
  <si>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</si>
  <si>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</si>
  <si>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</si>
  <si>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</si>
  <si>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</si>
  <si>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</si>
  <si>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</si>
  <si>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</si>
  <si>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</si>
  <si>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</si>
  <si>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</si>
  <si>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</si>
  <si>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</si>
  <si>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</si>
  <si>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</si>
  <si>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</si>
  <si>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</si>
  <si>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</si>
  <si>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</si>
  <si>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</si>
  <si>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</si>
  <si>
    <t>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</si>
</sst>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10" fontId="100" fillId="0" borderId="61" xfId="0" applyNumberFormat="1" applyFont="1" applyFill="1" applyBorder="1" applyAlignment="1" applyProtection="1">
      <alignment horizontal="center" vertical="center"/>
      <protection locked="0"/>
    </xf>
    <xf numFmtId="181" fontId="113" fillId="0" borderId="49"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北京市东城区灯市口大街33号4层425房地产抵押价值预评估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康正预评字2024-1-0305-P01DYGJ1号</v>
      </c>
    </row>
    <row r="6" spans="1:2" s="1199" customFormat="1" ht="15" thickTop="1">
      <c r="A6" s="1197" t="s">
        <v>526</v>
      </c>
      <c r="B6" s="1198" t="str">
        <f>'预评函-1'!A4</f>
        <v>受贵公司委托，我公司对北京市东城区灯市口大街33号4层425房地产抵押价值进行了预评估。</v>
      </c>
    </row>
    <row r="7" spans="1:2" s="1202" customFormat="1">
      <c r="A7" s="1200" t="s">
        <v>566</v>
      </c>
      <c r="B7" s="1201" t="str">
        <f>'预评函-1'!A7</f>
        <v>估价对象为北京市东城区灯市口大街33号4层425房地产，为何帆所有。根据《国有土地使用证》[]，估价对象（分摊）出让国有建设用地使用权面积为12.1平方米，建筑面积为131.02平方米。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2024年4月25日</v>
      </c>
    </row>
    <row r="13" spans="1:2" s="1202" customFormat="1">
      <c r="A13" s="1200" t="s">
        <v>529</v>
      </c>
      <c r="B13" s="1201" t="str">
        <f>'预评函-1'!A18</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4" spans="1:2" s="1202" customFormat="1">
      <c r="A14" s="1200" t="s">
        <v>530</v>
      </c>
      <c r="B14" s="1201"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356</v>
      </c>
    </row>
    <row r="21" spans="1:2" s="1202" customFormat="1">
      <c r="A21" s="1200" t="s">
        <v>537</v>
      </c>
      <c r="B21" s="1201">
        <f ca="1">'预评函-2'!D7</f>
        <v>27166</v>
      </c>
    </row>
    <row r="22" spans="1:2" s="1202" customFormat="1">
      <c r="A22" s="1200" t="s">
        <v>538</v>
      </c>
      <c r="B22" s="1201" t="str">
        <f ca="1">'预评函-2'!D6</f>
        <v>叁佰伍拾陆万元整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356</v>
      </c>
    </row>
    <row r="31" spans="1:2" s="1202" customFormat="1">
      <c r="A31" s="1200" t="s">
        <v>576</v>
      </c>
      <c r="B31" s="1201">
        <f ca="1">'预评函-2'!D15</f>
        <v>27166</v>
      </c>
    </row>
    <row r="32" spans="1:2" s="1202" customFormat="1">
      <c r="A32" s="1200" t="s">
        <v>543</v>
      </c>
      <c r="B32" s="1201" t="str">
        <f ca="1">'预评函-2'!D14</f>
        <v>叁佰伍拾陆万元整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北京市东城区灯市口大街33号4层425房地产</v>
      </c>
    </row>
    <row r="42" spans="1:2" s="1202" customFormat="1">
      <c r="A42" s="1200" t="s">
        <v>590</v>
      </c>
      <c r="B42" s="1201" t="str">
        <f>'预评函-3'!B2</f>
        <v>建筑面积</v>
      </c>
    </row>
    <row r="43" spans="1:2" s="1202" customFormat="1">
      <c r="A43" s="1200" t="s">
        <v>591</v>
      </c>
      <c r="B43" s="1201">
        <f>'预评函-3'!B4</f>
        <v>131.02000000000001</v>
      </c>
    </row>
    <row r="44" spans="1:2" s="1202" customFormat="1">
      <c r="A44" s="1200" t="s">
        <v>575</v>
      </c>
      <c r="B44" s="1201" t="str">
        <f>'预评函-3'!C2</f>
        <v>(分摊)土地面积</v>
      </c>
    </row>
    <row r="45" spans="1:2" s="1202" customFormat="1">
      <c r="A45" s="1200" t="s">
        <v>547</v>
      </c>
      <c r="B45" s="1201">
        <f>'预评函-3'!C4</f>
        <v>12.1</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8" t="s">
        <v>3495</v>
      </c>
      <c r="C13" s="1546" t="s">
        <v>324</v>
      </c>
      <c r="I13" s="1550" t="s">
        <v>3347</v>
      </c>
    </row>
    <row r="14" spans="1:23">
      <c r="A14" s="1545" t="s">
        <v>1039</v>
      </c>
      <c r="B14" s="1545" t="s">
        <v>1040</v>
      </c>
      <c r="C14" s="1547" t="s">
        <v>13</v>
      </c>
      <c r="I14" s="1550" t="s">
        <v>3348</v>
      </c>
    </row>
    <row r="15" spans="1:23">
      <c r="A15" s="1545" t="s">
        <v>1041</v>
      </c>
      <c r="B15" s="1545" t="s">
        <v>1042</v>
      </c>
      <c r="C15" s="1546"/>
      <c r="I15" s="1550" t="s">
        <v>3349</v>
      </c>
    </row>
    <row r="16" spans="1:23">
      <c r="A16" s="1545" t="s">
        <v>1043</v>
      </c>
      <c r="B16" s="1545" t="s">
        <v>312</v>
      </c>
      <c r="C16" s="1546"/>
    </row>
    <row r="17" spans="1:3">
      <c r="A17" s="1545" t="s">
        <v>1044</v>
      </c>
      <c r="B17" s="1545" t="s">
        <v>2288</v>
      </c>
      <c r="C17" s="1546"/>
    </row>
    <row r="18" spans="1:3">
      <c r="A18" s="1545" t="s">
        <v>1045</v>
      </c>
      <c r="B18" s="1545" t="s">
        <v>2432</v>
      </c>
      <c r="C18" s="1546"/>
    </row>
    <row r="19" spans="1:3">
      <c r="A19" s="1545" t="s">
        <v>1046</v>
      </c>
      <c r="B19" s="1545" t="s">
        <v>3497</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10" t="s">
        <v>2579</v>
      </c>
      <c r="J2" s="3510"/>
      <c r="K2" s="3510"/>
      <c r="L2" s="3510"/>
      <c r="M2" s="3510"/>
      <c r="N2" s="3510"/>
      <c r="O2" s="3510"/>
      <c r="P2" s="3510"/>
      <c r="Q2" s="3510"/>
      <c r="R2" s="3510"/>
    </row>
    <row r="3" spans="1:18">
      <c r="A3" s="3016" t="s">
        <v>2500</v>
      </c>
      <c r="B3" s="3017">
        <f>项目基本情况!D3</f>
        <v>45407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2.65</v>
      </c>
      <c r="D5" s="3021">
        <f>IF(ISERROR(ROUND(POWER(1+E5,A5-C5)*(POWER(1+E5,C5)-1)/(POWER(1+E5,A5)-1),3)),0,ROUND(POWER(1+E5,A5-C5)*(POWER(1+E5,C5)-1)/(POWER(1+E5,A5)-1),4))</f>
        <v>0.12470000000000001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12.66</v>
      </c>
      <c r="D6" s="3021">
        <f>IF(ISERROR(ROUND(POWER(1+E6,A6-C6)*(POWER(1+E6,C6)-1)/(POWER(1+E6,A6)-1),3)),0,ROUND(POWER(1+E6,A6-C6)*(POWER(1+E6,C6)-1)/(POWER(1+E6,A6)-1),4))</f>
        <v>0.45550000000000002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32.67</v>
      </c>
      <c r="D7" s="3021">
        <f>IF(ISERROR(ROUND(POWER(1+E7,A7-C7)*(POWER(1+E7,C7)-1)/(POWER(1+E7,A7)-1),3)),0,ROUND(POWER(1+E7,A7-C7)*(POWER(1+E7,C7)-1)/(POWER(1+E7,A7)-1),4))</f>
        <v>0.77190000000000003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zoomScaleSheetLayoutView="80" workbookViewId="0">
      <selection activeCell="D3" sqref="D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9" t="str">
        <f>IF(B10="北京市","北京市",C10)&amp;F10&amp;IF(结果表!G1="在建","出让国有建设用地使用权及在建建筑物",IF(结果表!G1="土地","出让国有建设用地使用权",))&amp;B9&amp;"预评估"</f>
        <v>北京市东城区灯市口大街33号4层425房地产抵押价值预评估</v>
      </c>
      <c r="C1" s="3520"/>
      <c r="D1" s="3520"/>
      <c r="E1" s="3520"/>
      <c r="F1" s="3520"/>
      <c r="G1" s="3520"/>
      <c r="H1" s="3520"/>
      <c r="I1" s="3521"/>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4"/>
      <c r="U1" s="1744"/>
      <c r="V1" s="1744"/>
      <c r="W1" s="1744"/>
      <c r="X1" s="1744"/>
      <c r="Y1" s="1744"/>
      <c r="Z1" s="1744"/>
      <c r="AA1" s="1744"/>
      <c r="AB1" s="1744"/>
    </row>
    <row r="2" spans="1:30">
      <c r="A2" s="2366" t="s">
        <v>2168</v>
      </c>
      <c r="B2" s="2370" t="s">
        <v>3379</v>
      </c>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北京市东城区灯市口大街33号4层425房地产</v>
      </c>
      <c r="T2" s="1744"/>
      <c r="U2" s="1744"/>
      <c r="V2" s="1744"/>
      <c r="W2" s="1744"/>
      <c r="X2" s="1744"/>
      <c r="Y2" s="1744"/>
      <c r="Z2" s="1744"/>
      <c r="AA2" s="1744"/>
      <c r="AB2" s="1744"/>
    </row>
    <row r="3" spans="1:30">
      <c r="A3" s="301" t="s">
        <v>2169</v>
      </c>
      <c r="B3" s="2372"/>
      <c r="C3" s="2373" t="s">
        <v>2170</v>
      </c>
      <c r="D3" s="3465">
        <v>45407</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3380</v>
      </c>
      <c r="C4" s="2375">
        <f ca="1">SUMIF(注册房地产估价师,B4,估价师及机构信息!B3:B24)</f>
        <v>1120070131</v>
      </c>
      <c r="D4" s="2374" t="s">
        <v>3381</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3375</v>
      </c>
      <c r="C8" s="2389"/>
      <c r="D8" s="3522" t="s">
        <v>2176</v>
      </c>
      <c r="E8" s="2390" t="s">
        <v>3382</v>
      </c>
      <c r="F8" s="2391"/>
      <c r="G8" s="2659"/>
      <c r="H8" s="2659"/>
      <c r="I8" s="2659"/>
      <c r="J8" s="2437"/>
      <c r="K8" s="2610"/>
      <c r="L8" s="2609"/>
      <c r="M8" s="2609"/>
      <c r="N8" s="2437"/>
      <c r="O8" s="2448"/>
      <c r="P8" s="2437"/>
      <c r="Q8" s="2437"/>
      <c r="R8" s="2437"/>
    </row>
    <row r="9" spans="1:30" ht="13.5" thickBot="1">
      <c r="A9" s="2392" t="s">
        <v>2177</v>
      </c>
      <c r="B9" s="2393" t="s">
        <v>3382</v>
      </c>
      <c r="C9" s="2394"/>
      <c r="D9" s="3523"/>
      <c r="E9" s="2393"/>
      <c r="F9" s="2395"/>
      <c r="G9" s="2661"/>
      <c r="H9" s="2661"/>
      <c r="I9" s="2661"/>
      <c r="J9" s="2437"/>
      <c r="K9" s="2612"/>
      <c r="L9" s="2609"/>
      <c r="M9" s="2609"/>
      <c r="N9" s="2437"/>
      <c r="O9" s="2448"/>
      <c r="P9" s="2437"/>
      <c r="Q9" s="2437"/>
      <c r="R9" s="2437"/>
    </row>
    <row r="10" spans="1:30" ht="13.5" thickTop="1">
      <c r="A10" s="2396" t="s">
        <v>2178</v>
      </c>
      <c r="B10" s="2397" t="s">
        <v>3383</v>
      </c>
      <c r="C10" s="2398"/>
      <c r="D10" s="2381"/>
      <c r="E10" s="2399" t="s">
        <v>2179</v>
      </c>
      <c r="F10" s="2662" t="s">
        <v>3384</v>
      </c>
      <c r="G10" s="2663"/>
      <c r="H10" s="2664"/>
      <c r="I10" s="2665"/>
      <c r="J10" s="2437"/>
      <c r="K10" s="2612"/>
      <c r="L10" s="2609"/>
      <c r="M10" s="2609"/>
      <c r="N10" s="2437"/>
      <c r="O10" s="2448"/>
      <c r="P10" s="2437"/>
      <c r="Q10" s="2437"/>
      <c r="R10" s="2437"/>
    </row>
    <row r="11" spans="1:30">
      <c r="A11" s="2400" t="s">
        <v>2180</v>
      </c>
      <c r="B11" s="2401" t="s">
        <v>3385</v>
      </c>
      <c r="C11" s="3453" t="s">
        <v>3386</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5"/>
      <c r="D13" s="855"/>
      <c r="E13" s="855">
        <v>52761</v>
      </c>
      <c r="F13" s="855"/>
      <c r="G13" s="855"/>
      <c r="H13" s="855"/>
      <c r="I13" s="855"/>
      <c r="J13" s="3058"/>
      <c r="K13" s="2609"/>
      <c r="L13" s="2609"/>
      <c r="M13" s="2437"/>
      <c r="N13" s="2448"/>
      <c r="O13" s="2437"/>
      <c r="P13" s="2437"/>
      <c r="Q13" s="2437"/>
      <c r="AD13" s="1744"/>
    </row>
    <row r="14" spans="1:30">
      <c r="A14" s="1080"/>
      <c r="B14" s="2405" t="s">
        <v>2190</v>
      </c>
      <c r="C14" s="2406"/>
      <c r="D14" s="2406"/>
      <c r="E14" s="2406">
        <v>50</v>
      </c>
      <c r="F14" s="2406"/>
      <c r="G14" s="2406"/>
      <c r="H14" s="2406"/>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f>IF(A13="出让",IF(E13="","",ROUNDDOWN(MIN((E13-$D$3)/365,E14),2)),E14)</f>
        <v>20.14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2192</v>
      </c>
      <c r="B16" s="3529" t="s">
        <v>3387</v>
      </c>
      <c r="C16" s="3530"/>
      <c r="D16" s="3531"/>
      <c r="E16" s="2411" t="s">
        <v>2193</v>
      </c>
      <c r="F16" s="3532">
        <v>20.16</v>
      </c>
      <c r="G16" s="3533"/>
      <c r="H16" s="3533"/>
      <c r="I16" s="3534"/>
      <c r="J16" s="2437"/>
      <c r="K16" s="2613"/>
      <c r="L16" s="2449"/>
      <c r="M16" s="2449"/>
      <c r="N16" s="2505"/>
      <c r="O16" s="2449"/>
      <c r="P16" s="2505"/>
      <c r="Q16" s="2437"/>
      <c r="R16" s="2437"/>
    </row>
    <row r="17" spans="1:28">
      <c r="A17" s="312" t="s">
        <v>2194</v>
      </c>
      <c r="B17" s="301" t="s">
        <v>2195</v>
      </c>
      <c r="C17" s="8">
        <f>'数据-汇总表'!E3</f>
        <v>131.02000000000001</v>
      </c>
      <c r="D17" s="2321" t="s">
        <v>2196</v>
      </c>
      <c r="E17" s="3535" t="s">
        <v>2197</v>
      </c>
      <c r="F17" s="3536"/>
      <c r="G17" s="3536"/>
      <c r="H17" s="3536"/>
      <c r="I17" s="3537"/>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12.1</v>
      </c>
      <c r="D18" s="1091" t="s">
        <v>2200</v>
      </c>
      <c r="E18" s="3538" t="s">
        <v>2201</v>
      </c>
      <c r="F18" s="3539"/>
      <c r="G18" s="3539"/>
      <c r="H18" s="3539"/>
      <c r="I18" s="3540"/>
      <c r="J18" s="2437"/>
      <c r="K18" s="2614"/>
      <c r="L18" s="2449"/>
      <c r="M18" s="2449"/>
      <c r="N18" s="2505"/>
      <c r="O18" s="2449"/>
      <c r="P18" s="2505"/>
      <c r="Q18" s="2437"/>
      <c r="R18" s="2437"/>
      <c r="S18" s="2437"/>
      <c r="T18" s="2437"/>
      <c r="U18" s="2437"/>
      <c r="V18" s="2437"/>
    </row>
    <row r="19" spans="1:28" ht="37.5" thickTop="1" thickBot="1">
      <c r="A19" s="326" t="s">
        <v>1054</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25" t="s">
        <v>2205</v>
      </c>
      <c r="C20" s="3526"/>
      <c r="D20" s="3527" t="s">
        <v>2206</v>
      </c>
      <c r="E20" s="3528"/>
      <c r="F20" s="2643" t="s">
        <v>1055</v>
      </c>
      <c r="G20" s="2660"/>
      <c r="H20" s="2660"/>
      <c r="I20" s="2660"/>
      <c r="J20" s="2437"/>
      <c r="K20" s="352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1056</v>
      </c>
      <c r="D21" s="1567" t="s">
        <v>2209</v>
      </c>
      <c r="E21" s="2631" t="s">
        <v>1056</v>
      </c>
      <c r="F21" s="2644"/>
      <c r="G21" s="2660"/>
      <c r="H21" s="2660"/>
      <c r="I21" s="2660"/>
      <c r="J21" s="2437"/>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1057</v>
      </c>
      <c r="D22" s="2659"/>
      <c r="E22" s="2659"/>
      <c r="F22" s="2659"/>
      <c r="G22" s="2660"/>
      <c r="H22" s="2660"/>
      <c r="I22" s="2660"/>
      <c r="J22" s="2437"/>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2" t="s">
        <v>2213</v>
      </c>
      <c r="B27" s="319" t="s">
        <v>2214</v>
      </c>
      <c r="C27" s="2414" t="s">
        <v>3388</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2"/>
      <c r="B28" s="301" t="s">
        <v>2215</v>
      </c>
      <c r="C28" s="2416" t="s">
        <v>3389</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2"/>
      <c r="B29" s="301" t="s">
        <v>2216</v>
      </c>
      <c r="C29" s="2418" t="s">
        <v>3390</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3"/>
      <c r="B30" s="301" t="s">
        <v>2217</v>
      </c>
      <c r="C30" s="3514"/>
      <c r="D30" s="3515"/>
      <c r="E30" s="2660"/>
      <c r="F30" s="2660"/>
      <c r="G30" s="2660"/>
      <c r="H30" s="2660"/>
      <c r="I30" s="2660"/>
      <c r="J30" s="2437"/>
      <c r="K30" s="2612"/>
      <c r="L30" s="2609"/>
      <c r="M30" s="2609"/>
      <c r="N30" s="2437"/>
      <c r="O30" s="2448"/>
      <c r="P30" s="2437"/>
      <c r="Q30" s="2437"/>
      <c r="R30" s="2437"/>
      <c r="S30" s="2437"/>
      <c r="T30" s="2437"/>
      <c r="U30" s="2437"/>
      <c r="V30" s="2437"/>
    </row>
    <row r="31" spans="1:28">
      <c r="A31" s="3516" t="s">
        <v>2218</v>
      </c>
      <c r="B31" s="2420" t="s">
        <v>3391</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17"/>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17"/>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11" t="s">
        <v>2227</v>
      </c>
      <c r="T34" s="2426" t="str">
        <f>NUMBERSTRING(7-K34,1)&amp;"通"</f>
        <v>七通</v>
      </c>
      <c r="U34" s="2437"/>
      <c r="V34" s="2437"/>
    </row>
    <row r="35" spans="1:30">
      <c r="A35" s="2427"/>
      <c r="B35" s="3518" t="s">
        <v>2228</v>
      </c>
      <c r="C35" s="3518"/>
      <c r="D35" s="3518"/>
      <c r="E35" s="3518"/>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1"/>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t="s">
        <v>144</v>
      </c>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t="s">
        <v>3392</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v>
      </c>
      <c r="B3" s="11">
        <f>IF(C3="否",G5-AT5,G5)</f>
        <v>131.02000000000001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3393</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3394</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3395</v>
      </c>
      <c r="E13" s="13">
        <f>IF($C$3="是",ROUND($A$3*G13/$B$3,2),ROUND($A$3*(G13-AT13)/$B$3,2))</f>
        <v>12.1</v>
      </c>
      <c r="F13" s="29"/>
      <c r="G13" s="30">
        <f>H13+AC13+AT13</f>
        <v>131.02000000000001</v>
      </c>
      <c r="H13" s="17">
        <f>SUMIF(I$12:AB$12,"总值",I13:AB13)</f>
        <v>131.02000000000001</v>
      </c>
      <c r="I13" s="1625">
        <v>131.02000000000001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8" sqref="F5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50" t="s">
        <v>1130</v>
      </c>
      <c r="B2" s="3550"/>
      <c r="C2" s="3550"/>
      <c r="D2" s="795" t="s">
        <v>1106</v>
      </c>
      <c r="E2" s="1638" t="s">
        <v>1107</v>
      </c>
      <c r="F2" s="2655"/>
      <c r="G2" s="2646"/>
      <c r="H2" s="2647"/>
      <c r="I2" s="2324" t="s">
        <v>1131</v>
      </c>
      <c r="J2" s="2655"/>
      <c r="K2" s="2655"/>
      <c r="L2" s="2655"/>
      <c r="M2" s="2655"/>
      <c r="N2" s="2657"/>
      <c r="O2" s="2655"/>
      <c r="P2" s="2655"/>
    </row>
    <row r="3" spans="1:16" ht="15.75" thickBot="1">
      <c r="A3" s="3551" t="s">
        <v>1104</v>
      </c>
      <c r="B3" s="3551"/>
      <c r="C3" s="3551"/>
      <c r="D3" s="43">
        <f>'数据-基础表'!AY6</f>
        <v>12.1</v>
      </c>
      <c r="E3" s="43">
        <f>'数据-基础表'!AZ5</f>
        <v>131.02000000000001</v>
      </c>
      <c r="F3" s="2655"/>
      <c r="G3" s="1144"/>
      <c r="H3" s="1025" t="s">
        <v>1105</v>
      </c>
      <c r="I3" s="854">
        <f>ROUND('数据-基础表'!B3/'数据-基础表'!A3,2)</f>
        <v>10.83</v>
      </c>
      <c r="J3" s="2655"/>
      <c r="K3" s="2655"/>
      <c r="L3" s="2655"/>
      <c r="M3" s="2655"/>
      <c r="N3" s="2657"/>
      <c r="O3" s="2655"/>
      <c r="P3" s="2655"/>
    </row>
    <row r="4" spans="1:16" ht="15">
      <c r="A4" s="3552"/>
      <c r="B4" s="3553"/>
      <c r="C4" s="3554"/>
      <c r="D4" s="1640" t="s">
        <v>1106</v>
      </c>
      <c r="E4" s="1641" t="s">
        <v>1107</v>
      </c>
      <c r="F4" s="2655"/>
      <c r="G4" s="2648" t="s">
        <v>1132</v>
      </c>
      <c r="H4" s="1025" t="s">
        <v>1112</v>
      </c>
      <c r="I4" s="854">
        <f>ROUND(SUMIF('数据-基础表'!I9:AS9,"地上",'数据-基础表'!I5:AS5)/'数据-基础表'!A3,2)</f>
        <v>10.83</v>
      </c>
      <c r="J4" s="2655"/>
      <c r="K4" s="2655"/>
      <c r="L4" s="2655"/>
      <c r="M4" s="2655"/>
      <c r="N4" s="2657"/>
      <c r="O4" s="2655"/>
      <c r="P4" s="2655"/>
    </row>
    <row r="5" spans="1:16">
      <c r="A5" s="44" t="s">
        <v>1108</v>
      </c>
      <c r="B5" s="3555" t="s">
        <v>1109</v>
      </c>
      <c r="C5" s="3555"/>
      <c r="D5" s="45">
        <f>ROUND($D$3*E5/$E$3,2)</f>
        <v>0</v>
      </c>
      <c r="E5" s="46">
        <f>SUMIF('数据-基础表'!$11:$11,"住宅",'数据-基础表'!$5:$5)</f>
        <v>0</v>
      </c>
      <c r="F5" s="2655"/>
      <c r="G5" s="1144"/>
      <c r="H5" s="1025" t="s">
        <v>1105</v>
      </c>
      <c r="I5" s="854">
        <f>ROUND(E31/D31,2)</f>
        <v>10.83</v>
      </c>
      <c r="J5" s="2655"/>
      <c r="K5" s="2655"/>
      <c r="L5" s="2655"/>
      <c r="M5" s="2655"/>
      <c r="N5" s="2655"/>
      <c r="O5" s="2655"/>
      <c r="P5" s="2655"/>
    </row>
    <row r="6" spans="1:16" ht="15" thickBot="1">
      <c r="A6" s="1643"/>
      <c r="B6" s="3555" t="s">
        <v>1110</v>
      </c>
      <c r="C6" s="3555"/>
      <c r="D6" s="45">
        <f>ROUND($D$3*E6/$E$3,2)</f>
        <v>12.1</v>
      </c>
      <c r="E6" s="46">
        <f>E3-E5</f>
        <v>131.02000000000001</v>
      </c>
      <c r="F6" s="2655"/>
      <c r="G6" s="2649" t="s">
        <v>1111</v>
      </c>
      <c r="H6" s="1145" t="s">
        <v>1112</v>
      </c>
      <c r="I6" s="2650">
        <f>ROUND(F31/D31,2)</f>
        <v>10.83</v>
      </c>
      <c r="J6" s="2655"/>
      <c r="K6" s="2655"/>
      <c r="L6" s="2655"/>
      <c r="M6" s="2655"/>
      <c r="N6" s="2655"/>
      <c r="O6" s="2655"/>
      <c r="P6" s="2655"/>
    </row>
    <row r="7" spans="1:16" ht="15.75" thickBot="1">
      <c r="A7" s="3547"/>
      <c r="B7" s="3548"/>
      <c r="C7" s="3549"/>
      <c r="D7" s="1640" t="s">
        <v>1106</v>
      </c>
      <c r="E7" s="1644" t="s">
        <v>1113</v>
      </c>
      <c r="F7" s="2655"/>
      <c r="G7" s="2651" t="s">
        <v>1114</v>
      </c>
      <c r="H7" s="2652"/>
      <c r="I7" s="2653">
        <v>9.9</v>
      </c>
      <c r="J7" s="2655"/>
      <c r="K7" s="2655"/>
      <c r="L7" s="2655"/>
      <c r="M7" s="2655"/>
      <c r="N7" s="2655"/>
      <c r="O7" s="2655"/>
      <c r="P7" s="2655"/>
    </row>
    <row r="8" spans="1:16">
      <c r="A8" s="44" t="s">
        <v>1115</v>
      </c>
      <c r="B8" s="47" t="s">
        <v>1116</v>
      </c>
      <c r="C8" s="45" t="s">
        <v>1117</v>
      </c>
      <c r="D8" s="45">
        <f t="shared" ref="D8:D15" si="0">ROUND($D$3*E8/$E$3,2)</f>
        <v>12.1</v>
      </c>
      <c r="E8" s="48">
        <f>SUMIF('数据-基础表'!BB10:BK10,"地上",'数据-基础表'!BB5:BK5)</f>
        <v>131.02000000000001</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12.1</v>
      </c>
      <c r="E16" s="50">
        <f>SUM(E8:E15)</f>
        <v>131.02000000000001</v>
      </c>
      <c r="F16" s="2655"/>
      <c r="G16" s="2656"/>
      <c r="H16" s="1647" t="s">
        <v>1134</v>
      </c>
      <c r="I16" s="1648"/>
      <c r="J16" s="1138"/>
      <c r="K16" s="3544" t="s">
        <v>1134</v>
      </c>
      <c r="L16" s="3545"/>
      <c r="M16" s="3545"/>
      <c r="N16" s="3545"/>
      <c r="O16" s="3545"/>
      <c r="P16" s="3546"/>
    </row>
    <row r="17" spans="1:19" ht="15">
      <c r="A17" s="1649" t="s">
        <v>1135</v>
      </c>
      <c r="B17" s="1650" t="s">
        <v>1136</v>
      </c>
      <c r="C17" s="1651" t="s">
        <v>1137</v>
      </c>
      <c r="D17" s="1652" t="s">
        <v>1125</v>
      </c>
      <c r="E17" s="1653" t="s">
        <v>1126</v>
      </c>
      <c r="F17" s="1654"/>
      <c r="G17" s="1655"/>
      <c r="H17" s="1656" t="s">
        <v>1138</v>
      </c>
      <c r="I17" s="1657" t="s">
        <v>1123</v>
      </c>
      <c r="J17" s="1138"/>
      <c r="K17" s="3541" t="s">
        <v>1139</v>
      </c>
      <c r="L17" s="3542"/>
      <c r="M17" s="3543"/>
      <c r="N17" s="3541" t="s">
        <v>1140</v>
      </c>
      <c r="O17" s="3542"/>
      <c r="P17" s="3543"/>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3396</v>
      </c>
      <c r="D19" s="45">
        <f>ROUND($D$3*E19/$E$3,2)</f>
        <v>12.1</v>
      </c>
      <c r="E19" s="53">
        <f t="shared" ref="E19:E26" si="1">SUM(F19:G19)</f>
        <v>131.02000000000001</v>
      </c>
      <c r="F19" s="2791">
        <v>131.02000000000001</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v>
      </c>
      <c r="S19" s="1026">
        <f t="shared" si="5"/>
        <v>131.02000000000001</v>
      </c>
    </row>
    <row r="20" spans="1:19">
      <c r="A20" s="1669"/>
      <c r="B20" s="47" t="s">
        <v>1152</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12.1</v>
      </c>
      <c r="E27" s="1140">
        <f>IF(SUM(E19:E26)='数据-基础表'!BA5,SUM(E19:E26),IF(F27="地上面积有误","面积有误","地下面积有误"))</f>
        <v>131.02000000000001</v>
      </c>
      <c r="F27" s="1139">
        <f>IF(SUM(F19:F26)=E8,SUM(F19:F26),"地上面积有误")</f>
        <v>131.02000000000001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v>
      </c>
      <c r="S27" s="1025">
        <f>IF(SUM(S19:S26)=$E$3,SUM(S19:S26),SUM(S19:S26)&amp;"误差"&amp;ROUND(SUM(S19:S26)-E3,2))</f>
        <v>131.02000000000001</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12.1</v>
      </c>
      <c r="E31" s="675">
        <f>E27+E30</f>
        <v>131.02000000000001</v>
      </c>
      <c r="F31" s="676">
        <f>F27+F30</f>
        <v>131.02000000000001</v>
      </c>
      <c r="G31" s="677">
        <f>G27+G30</f>
        <v>0</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AJ31" sqref="AJ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45407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3397</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20.14</v>
      </c>
      <c r="G6" s="65">
        <f>IF(ISERROR(ROUND(POWER(1+H6,D6-F6)*(POWER(1+H6,F6)-1)/(POWER(1+H6,D6)-1),3)),0,ROUND(POWER(1+H6,D6-F6)*(POWER(1+H6,F6)-1)/(POWER(1+H6,D6)-1),3))</f>
        <v>0.68500000000000005</v>
      </c>
      <c r="H6" s="731">
        <v>0.05</v>
      </c>
      <c r="I6" s="731">
        <v>5.5E-2</v>
      </c>
      <c r="J6" s="66">
        <v>7.0000000000000007E-2</v>
      </c>
      <c r="K6" s="1029">
        <f>SUMIF('数据-汇总表'!C$19:C$33,A6,'数据-汇总表'!E$19:E$33)</f>
        <v>131.02000000000001</v>
      </c>
      <c r="L6" s="732">
        <v>4000</v>
      </c>
      <c r="M6" s="67">
        <f t="shared" ref="M6:M14" si="0">ROUND(K6*L6/10000,0)</f>
        <v>52</v>
      </c>
      <c r="N6" s="730">
        <f>K27</f>
        <v>0.68</v>
      </c>
      <c r="O6" s="67" t="str">
        <f>IF($N$5="成新度","——",ROUND(M6*N6,0))</f>
        <v>——</v>
      </c>
      <c r="P6" s="68" t="str">
        <f>IF($N$5="成新度","——",M6-O6)</f>
        <v>——</v>
      </c>
      <c r="Q6" s="733">
        <v>0.15</v>
      </c>
      <c r="R6" s="69">
        <f ca="1">SUMIF('数据-汇总表'!C$19:C$33,A6,'数据-汇总表'!R$19:R$27)</f>
        <v>12.1</v>
      </c>
      <c r="S6" s="51">
        <f>IF('数据-汇总表'!$I$17="按面积比例",SUMIF('数据-汇总表'!C$19:C$33,A6,'数据-汇总表'!K$19:K$33),SUMIF('数据-汇总表'!C$19:C$33,A6,'数据-汇总表'!N$19:N$33))</f>
        <v>0</v>
      </c>
      <c r="T6" s="1171">
        <f>ROUND($L$14*S6/10000,0)</f>
        <v>0</v>
      </c>
      <c r="U6" s="3424">
        <f>'比较法-办公'!C50</f>
        <v>4.7</v>
      </c>
      <c r="V6" s="70">
        <v>2.5000000000000001E-2</v>
      </c>
      <c r="W6" s="70">
        <v>0.05</v>
      </c>
      <c r="X6" s="1039"/>
      <c r="Y6" s="71">
        <f>K27</f>
        <v>0.68</v>
      </c>
      <c r="Z6" s="72"/>
      <c r="AA6" s="66"/>
      <c r="AB6" s="66"/>
      <c r="AC6" s="1039"/>
      <c r="AD6" s="73"/>
      <c r="AE6" s="1040">
        <f ca="1">IF(AN6="",0,SUMIF(INDIRECT("'"&amp;AN6&amp;"'"&amp;"!E:E"),$AE$5,INDIRECT("'"&amp;AN6&amp;"'"&amp;"!F:F")))</f>
        <v>20.14</v>
      </c>
      <c r="AF6" s="1347"/>
      <c r="AG6" s="137">
        <f>IF(AF6="",0,AE6-AF6)</f>
        <v>0</v>
      </c>
      <c r="AH6" s="74"/>
      <c r="AI6" s="76">
        <v>365</v>
      </c>
      <c r="AJ6" s="77"/>
      <c r="AK6" s="78">
        <v>8.0000000000000002E-3</v>
      </c>
      <c r="AL6" s="79">
        <v>1E-3</v>
      </c>
      <c r="AM6" s="80">
        <v>8.0000000000000002E-3</v>
      </c>
      <c r="AN6" s="1714" t="s">
        <v>3403</v>
      </c>
      <c r="AO6" s="52">
        <f ca="1">SUMIF(INDIRECT("'"&amp;AN6&amp;"'"&amp;"!A:A"),"总价",INDIRECT("'"&amp;AN6&amp;"'"&amp;"!B:B"))</f>
        <v>288.02839999999998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0.68500000000000005</v>
      </c>
      <c r="H16" s="90">
        <f>ROUND(SUMPRODUCT(H6:H13,K6:K13)/SUMPRODUCT((H6:H13&gt;0)*(K6:K13)),3)</f>
        <v>0.05</v>
      </c>
      <c r="I16" s="91"/>
      <c r="J16" s="91"/>
      <c r="K16" s="92">
        <f>SUM(K6:K15)</f>
        <v>131.02000000000001</v>
      </c>
      <c r="L16" s="93">
        <f>ROUND(M16*10000/SUM(K6:K14),0)</f>
        <v>3969</v>
      </c>
      <c r="M16" s="93">
        <f>SUM(M6:M14)</f>
        <v>52</v>
      </c>
      <c r="N16" s="94">
        <f>ROUND(SUMPRODUCT(M6:M14,N6:N14)/M16,3)</f>
        <v>0.68</v>
      </c>
      <c r="O16" s="93">
        <f>SUM(O6:O14)</f>
        <v>0</v>
      </c>
      <c r="P16" s="93">
        <f>SUM(P6:P14)</f>
        <v>0</v>
      </c>
      <c r="Q16" s="95">
        <f>ROUND(SUMPRODUCT(Q6:Q13,K6:K13)/SUMPRODUCT((Q6:Q13&gt;0)*(K6:K13)),2)</f>
        <v>0.15</v>
      </c>
      <c r="R16" s="1033">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3454" t="s">
        <v>3493</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3456" t="s">
        <v>3402</v>
      </c>
      <c r="K23" s="2667">
        <v>1997</v>
      </c>
      <c r="L23" s="2667"/>
      <c r="M23" s="2667"/>
      <c r="N23" s="2667"/>
      <c r="O23" s="3456" t="s">
        <v>3402</v>
      </c>
      <c r="P23" s="2667">
        <v>1993</v>
      </c>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7" t="s">
        <v>3398</v>
      </c>
      <c r="L24" s="2667"/>
      <c r="M24" s="2667"/>
      <c r="N24" s="2667"/>
      <c r="O24" s="2669"/>
      <c r="P24" s="2667" t="s">
        <v>3398</v>
      </c>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3456" t="s">
        <v>3401</v>
      </c>
      <c r="K25" s="2667">
        <f>ROUND(1-(1-0)*(2024-K23)/60,2)</f>
        <v>0.55000000000000004</v>
      </c>
      <c r="L25" s="2667"/>
      <c r="M25" s="2667"/>
      <c r="N25" s="2667"/>
      <c r="O25" s="3456" t="s">
        <v>3401</v>
      </c>
      <c r="P25" s="2667">
        <f>ROUND(1-(1-0)*(2024-P23)/60,2)</f>
        <v>0.48</v>
      </c>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3456" t="s">
        <v>3400</v>
      </c>
      <c r="K26" s="3455">
        <v>0.8</v>
      </c>
      <c r="L26" s="2667"/>
      <c r="M26" s="2667"/>
      <c r="N26" s="2667"/>
      <c r="O26" s="3456" t="s">
        <v>3400</v>
      </c>
      <c r="P26" s="3455">
        <v>0.8</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2302</v>
      </c>
      <c r="D27" s="2675"/>
      <c r="E27" s="2657"/>
      <c r="F27" s="2657"/>
      <c r="G27" s="2669"/>
      <c r="H27" s="2669"/>
      <c r="I27" s="2669"/>
      <c r="J27" s="3456" t="s">
        <v>3399</v>
      </c>
      <c r="K27" s="2667">
        <f>ROUND((K25+K26)/2,2)</f>
        <v>0.68</v>
      </c>
      <c r="L27" s="2667"/>
      <c r="M27" s="2667"/>
      <c r="N27" s="2667"/>
      <c r="O27" s="3456" t="s">
        <v>3399</v>
      </c>
      <c r="P27" s="2667">
        <f>ROUND((P25+P26)/2,2)</f>
        <v>0.64</v>
      </c>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67">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4">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346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19">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3">
        <f>SUMIF(A54:A63,B53,B54:B63)</f>
        <v>30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144</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f>C54</f>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8"/>
      <c r="I2" s="798"/>
      <c r="J2" s="798"/>
      <c r="K2" s="798"/>
      <c r="L2" s="798"/>
      <c r="M2" s="798"/>
      <c r="N2" s="798"/>
      <c r="O2" s="798"/>
      <c r="P2" s="798"/>
      <c r="Q2" s="798"/>
      <c r="R2" s="798"/>
    </row>
    <row r="3" spans="1:29" ht="25.5">
      <c r="A3" s="2439" t="s">
        <v>2279</v>
      </c>
      <c r="B3" s="2461" t="s">
        <v>2251</v>
      </c>
      <c r="C3" s="3457" t="s">
        <v>3404</v>
      </c>
      <c r="D3" s="2462"/>
      <c r="E3" s="2440" t="s">
        <v>2279</v>
      </c>
      <c r="F3" s="2463" t="s">
        <v>2252</v>
      </c>
      <c r="G3" s="2464" t="s">
        <v>2280</v>
      </c>
      <c r="H3" s="798"/>
      <c r="I3" s="798"/>
      <c r="J3" s="798"/>
      <c r="K3" s="798"/>
      <c r="L3" s="798"/>
      <c r="M3" s="798"/>
      <c r="N3" s="798"/>
      <c r="O3" s="798"/>
      <c r="P3" s="798"/>
      <c r="Q3" s="798"/>
      <c r="R3" s="798"/>
    </row>
    <row r="4" spans="1:29" ht="36">
      <c r="A4" s="2440"/>
      <c r="B4" s="322" t="s">
        <v>2253</v>
      </c>
      <c r="C4" s="3458" t="s">
        <v>3404</v>
      </c>
      <c r="D4" s="2462"/>
      <c r="E4" s="2465"/>
      <c r="F4" s="1372" t="s">
        <v>2254</v>
      </c>
      <c r="G4" s="2466" t="s">
        <v>2255</v>
      </c>
      <c r="H4" s="798"/>
      <c r="I4" s="798"/>
      <c r="J4" s="798"/>
      <c r="K4" s="798"/>
      <c r="L4" s="798"/>
      <c r="M4" s="798"/>
      <c r="N4" s="798"/>
      <c r="O4" s="798"/>
      <c r="P4" s="798"/>
      <c r="Q4" s="798"/>
      <c r="R4" s="798"/>
    </row>
    <row r="5" spans="1:29" ht="24">
      <c r="A5" s="2440"/>
      <c r="B5" s="322" t="s">
        <v>2256</v>
      </c>
      <c r="C5" s="3458" t="s">
        <v>3404</v>
      </c>
      <c r="D5" s="2462"/>
      <c r="E5" s="2465"/>
      <c r="F5" s="322" t="s">
        <v>2257</v>
      </c>
      <c r="G5" s="2466" t="s">
        <v>2258</v>
      </c>
      <c r="H5" s="798"/>
      <c r="I5" s="798"/>
      <c r="J5" s="798"/>
      <c r="K5" s="798"/>
      <c r="L5" s="798"/>
      <c r="M5" s="798"/>
      <c r="N5" s="798"/>
      <c r="O5" s="798"/>
      <c r="P5" s="798"/>
      <c r="Q5" s="798"/>
      <c r="R5" s="798"/>
    </row>
    <row r="6" spans="1:29">
      <c r="A6" s="2440"/>
      <c r="B6" s="322" t="s">
        <v>2259</v>
      </c>
      <c r="C6" s="3459" t="s">
        <v>3404</v>
      </c>
      <c r="D6" s="2462"/>
      <c r="E6" s="2465"/>
      <c r="F6" s="322" t="s">
        <v>2260</v>
      </c>
      <c r="G6" s="2466" t="s">
        <v>2261</v>
      </c>
      <c r="H6" s="798"/>
      <c r="I6" s="798"/>
      <c r="J6" s="798"/>
      <c r="K6" s="798"/>
      <c r="L6" s="798"/>
      <c r="M6" s="798"/>
      <c r="N6" s="798"/>
      <c r="O6" s="798"/>
      <c r="P6" s="798"/>
      <c r="Q6" s="798"/>
      <c r="R6" s="798"/>
    </row>
    <row r="7" spans="1:29" ht="24.75" thickBot="1">
      <c r="A7" s="2440"/>
      <c r="B7" s="322" t="s">
        <v>2257</v>
      </c>
      <c r="C7" s="3459" t="s">
        <v>3404</v>
      </c>
      <c r="D7" s="2467"/>
      <c r="E7" s="2468"/>
      <c r="F7" s="2469" t="s">
        <v>2262</v>
      </c>
      <c r="G7" s="2470" t="s">
        <v>2263</v>
      </c>
      <c r="H7" s="798"/>
      <c r="I7" s="798"/>
      <c r="J7" s="798"/>
      <c r="K7" s="798"/>
      <c r="L7" s="798"/>
      <c r="M7" s="798"/>
      <c r="N7" s="798"/>
      <c r="O7" s="798"/>
      <c r="P7" s="798"/>
      <c r="Q7" s="798"/>
      <c r="R7" s="798"/>
    </row>
    <row r="8" spans="1:29">
      <c r="A8" s="2440"/>
      <c r="B8" s="322" t="s">
        <v>2260</v>
      </c>
      <c r="C8" s="3459" t="s">
        <v>3405</v>
      </c>
      <c r="D8" s="2467"/>
      <c r="E8" s="2467"/>
      <c r="F8" s="2471"/>
      <c r="G8" s="2471"/>
      <c r="H8" s="798"/>
      <c r="I8" s="798"/>
      <c r="J8" s="798"/>
      <c r="K8" s="798"/>
      <c r="L8" s="798"/>
      <c r="M8" s="798"/>
      <c r="N8" s="798"/>
      <c r="O8" s="798"/>
      <c r="P8" s="798"/>
      <c r="Q8" s="798"/>
      <c r="R8" s="798"/>
    </row>
    <row r="9" spans="1:29">
      <c r="A9" s="2440"/>
      <c r="B9" s="322" t="s">
        <v>2264</v>
      </c>
      <c r="C9" s="3458" t="s">
        <v>3404</v>
      </c>
      <c r="D9" s="2462"/>
      <c r="E9" s="2467"/>
      <c r="F9" s="2471"/>
      <c r="G9" s="2471"/>
      <c r="H9" s="798"/>
      <c r="I9" s="798"/>
      <c r="J9" s="798"/>
      <c r="K9" s="798"/>
      <c r="L9" s="798"/>
      <c r="M9" s="798"/>
      <c r="N9" s="798"/>
      <c r="O9" s="798"/>
      <c r="P9" s="798"/>
      <c r="Q9" s="798"/>
      <c r="R9" s="798"/>
    </row>
    <row r="10" spans="1:29" s="2477" customFormat="1" ht="15"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2282</v>
      </c>
      <c r="B13" s="2480"/>
      <c r="C13" s="2480"/>
      <c r="D13" s="2478"/>
      <c r="E13" s="2480"/>
      <c r="F13" s="2480"/>
      <c r="G13" s="2480"/>
    </row>
    <row r="14" spans="1:29" ht="15" thickBot="1">
      <c r="A14" s="2490"/>
      <c r="B14" s="2490"/>
      <c r="C14" s="2491" t="s">
        <v>2266</v>
      </c>
      <c r="D14" s="2462"/>
      <c r="E14" s="2492"/>
      <c r="F14" s="2492"/>
      <c r="G14" s="2458" t="s">
        <v>2267</v>
      </c>
    </row>
    <row r="15" spans="1:29" ht="25.5">
      <c r="A15" s="2442" t="s">
        <v>2268</v>
      </c>
      <c r="B15" s="2493" t="s">
        <v>2251</v>
      </c>
      <c r="C15" s="2494" t="str">
        <f>C3</f>
        <v>较好</v>
      </c>
      <c r="D15" s="2462"/>
      <c r="E15" s="2443" t="s">
        <v>2269</v>
      </c>
      <c r="F15" s="2493" t="s">
        <v>2270</v>
      </c>
      <c r="G15" s="2495" t="str">
        <f>G3</f>
        <v>估价对象位于XX开发区，园区建设成熟度XX，产业集聚程度XX</v>
      </c>
    </row>
    <row r="16" spans="1:29" ht="38.25">
      <c r="A16" s="2444"/>
      <c r="B16" s="2496" t="s">
        <v>2253</v>
      </c>
      <c r="C16" s="2497" t="str">
        <f>C4</f>
        <v>较好</v>
      </c>
      <c r="D16" s="2462"/>
      <c r="E16" s="2445"/>
      <c r="F16" s="2498" t="s">
        <v>2254</v>
      </c>
      <c r="G16" s="2499" t="str">
        <f>G4</f>
        <v>估价对象周边道路状况、公共交通通达情况、停车便捷程度，综合评价交通便捷度较好</v>
      </c>
    </row>
    <row r="17" spans="1:18">
      <c r="A17" s="2444"/>
      <c r="B17" s="2496" t="s">
        <v>2256</v>
      </c>
      <c r="C17" s="2497" t="str">
        <f>C5</f>
        <v>较好</v>
      </c>
      <c r="D17" s="2467"/>
      <c r="E17" s="2445"/>
      <c r="F17" s="2498" t="s">
        <v>2271</v>
      </c>
      <c r="G17" s="2500"/>
    </row>
    <row r="18" spans="1:18" ht="25.5">
      <c r="A18" s="2444"/>
      <c r="B18" s="2498" t="s">
        <v>2259</v>
      </c>
      <c r="C18" s="2499" t="str">
        <f>C6</f>
        <v>较好</v>
      </c>
      <c r="D18" s="2467"/>
      <c r="E18" s="2445"/>
      <c r="F18" s="2498" t="s">
        <v>2262</v>
      </c>
      <c r="G18" s="2499" t="str">
        <f>G7</f>
        <v>该园区内是否有污染型企业，绿化情况，卫生条件，整体环境状况判断</v>
      </c>
    </row>
    <row r="19" spans="1:18" ht="25.5">
      <c r="A19" s="2444"/>
      <c r="B19" s="2498" t="s">
        <v>2272</v>
      </c>
      <c r="C19" s="2500"/>
      <c r="D19" s="2462"/>
      <c r="E19" s="2445"/>
      <c r="F19" s="322" t="s">
        <v>2257</v>
      </c>
      <c r="G19" s="2499" t="str">
        <f>G5</f>
        <v>估价对象所在区域公共配套设施齐备情况</v>
      </c>
    </row>
    <row r="20" spans="1:18">
      <c r="A20" s="2444"/>
      <c r="B20" s="2498" t="s">
        <v>2273</v>
      </c>
      <c r="C20" s="2497" t="str">
        <f>C9</f>
        <v>较好</v>
      </c>
      <c r="D20" s="2467"/>
      <c r="E20" s="2445"/>
      <c r="F20" s="322" t="s">
        <v>2260</v>
      </c>
      <c r="G20" s="2499" t="str">
        <f>G6</f>
        <v>估价对象所在区域基础设施水平</v>
      </c>
    </row>
    <row r="21" spans="1:18">
      <c r="A21" s="2444"/>
      <c r="B21" s="322" t="s">
        <v>2257</v>
      </c>
      <c r="C21" s="2499" t="str">
        <f>C7</f>
        <v>较好</v>
      </c>
      <c r="D21" s="2462"/>
      <c r="E21" s="2445"/>
      <c r="F21" s="2498" t="s">
        <v>2274</v>
      </c>
      <c r="G21" s="2501"/>
    </row>
    <row r="22" spans="1:18" ht="13.5" customHeight="1">
      <c r="A22" s="2444"/>
      <c r="B22" s="322" t="s">
        <v>2260</v>
      </c>
      <c r="C22" s="2499" t="str">
        <f>C8</f>
        <v>七通</v>
      </c>
      <c r="D22" s="2462"/>
      <c r="E22" s="2445"/>
      <c r="F22" s="2498" t="s">
        <v>2265</v>
      </c>
      <c r="G22" s="2500"/>
    </row>
    <row r="23" spans="1:18" s="798" customFormat="1" ht="15"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5"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131.02000000000001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45407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356</v>
      </c>
      <c r="C5" s="2508">
        <f ca="1">IF(B5=D14,结果表!H102,ROUND(B5*10000/$B$1,0))</f>
        <v>27166</v>
      </c>
      <c r="D5" s="2508" t="e">
        <f ca="1">ROUND(B5*10000/$B$2,0)</f>
        <v>#DIV/0!</v>
      </c>
      <c r="E5" s="2682"/>
      <c r="F5" s="2683"/>
      <c r="G5" s="2683"/>
      <c r="H5" s="2684"/>
      <c r="I5" s="2684"/>
      <c r="J5" s="2684"/>
      <c r="K5" s="2684"/>
    </row>
    <row r="6" spans="1:11" ht="16.5">
      <c r="A6" s="2508" t="s">
        <v>656</v>
      </c>
      <c r="B6" s="2508">
        <f>SUM(G14:G23)</f>
        <v>0</v>
      </c>
      <c r="C6" s="2508">
        <f ca="1">IF(B6=G14,结果表!H108,ROUND(B6*10000/$B$1,0))</f>
        <v>27166</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3355</v>
      </c>
      <c r="D10" s="2508" t="s">
        <v>3356</v>
      </c>
      <c r="E10" s="3437"/>
      <c r="F10" s="3441" t="s">
        <v>3357</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'数据-基础表'!I13</f>
        <v>131.02000000000001</v>
      </c>
      <c r="C14" s="2514"/>
      <c r="D14" s="2514">
        <f ca="1">结果表!G19</f>
        <v>356</v>
      </c>
      <c r="E14" s="2514">
        <f ca="1">ROUND(D14*10000/B14,0)</f>
        <v>27171</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35" sqref="P3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21</v>
      </c>
      <c r="D1" s="1746"/>
      <c r="E1" s="1746"/>
      <c r="F1" s="1748" t="s">
        <v>1262</v>
      </c>
      <c r="G1" s="1560" t="s">
        <v>3391</v>
      </c>
      <c r="H1" s="1749" t="str">
        <f>IF(G1="现房","——","估价对象范围")</f>
        <v>——</v>
      </c>
      <c r="I1" s="1750" t="s">
        <v>3494</v>
      </c>
    </row>
    <row r="2" spans="1:12" ht="21.75" customHeight="1" thickBot="1">
      <c r="A2" s="3592" t="str">
        <f>项目基本情况!S2</f>
        <v>北京市东城区灯市口大街33号4层425房地产</v>
      </c>
      <c r="B2" s="3593"/>
      <c r="C2" s="3593"/>
      <c r="D2" s="3593"/>
      <c r="E2" s="3593"/>
      <c r="F2" s="3593"/>
      <c r="G2" s="3593"/>
      <c r="H2" s="3593"/>
      <c r="I2" s="3594"/>
    </row>
    <row r="3" spans="1:12" ht="12.75">
      <c r="A3" s="3596" t="s">
        <v>1263</v>
      </c>
      <c r="B3" s="3597"/>
      <c r="C3" s="3597"/>
      <c r="D3" s="3597"/>
      <c r="E3" s="3597"/>
      <c r="F3" s="3597"/>
      <c r="G3" s="3597"/>
      <c r="H3" s="3597"/>
      <c r="I3" s="3597"/>
    </row>
    <row r="4" spans="1:12" ht="14.25">
      <c r="A4" s="1753" t="s">
        <v>1264</v>
      </c>
      <c r="B4" s="1754" t="s">
        <v>1265</v>
      </c>
      <c r="C4" s="1755" t="s">
        <v>3496</v>
      </c>
      <c r="D4" s="1755" t="s">
        <v>3403</v>
      </c>
      <c r="E4" s="3598" t="s">
        <v>1266</v>
      </c>
      <c r="F4" s="3599"/>
      <c r="G4" s="3599"/>
      <c r="H4" s="3599"/>
      <c r="I4" s="360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1267</v>
      </c>
      <c r="B5" s="3559">
        <v>25</v>
      </c>
      <c r="C5" s="3575"/>
      <c r="D5" s="3595"/>
      <c r="E5" s="130" t="s">
        <v>1268</v>
      </c>
      <c r="F5" s="1756"/>
      <c r="G5" s="1756"/>
      <c r="H5" s="1756"/>
      <c r="I5" s="1372"/>
    </row>
    <row r="6" spans="1:12" ht="12.75">
      <c r="A6" s="3572"/>
      <c r="B6" s="3559"/>
      <c r="C6" s="3576"/>
      <c r="D6" s="3595"/>
      <c r="E6" s="130" t="s">
        <v>1269</v>
      </c>
      <c r="F6" s="1756"/>
      <c r="G6" s="1756"/>
      <c r="H6" s="1756"/>
      <c r="I6" s="1372"/>
    </row>
    <row r="7" spans="1:12" ht="12.75">
      <c r="A7" s="3572"/>
      <c r="B7" s="3559"/>
      <c r="C7" s="3577"/>
      <c r="D7" s="3595"/>
      <c r="E7" s="130" t="s">
        <v>1270</v>
      </c>
      <c r="F7" s="1756"/>
      <c r="G7" s="1756"/>
      <c r="H7" s="1756"/>
      <c r="I7" s="1372"/>
    </row>
    <row r="8" spans="1:12" ht="12.75">
      <c r="A8" s="3572" t="s">
        <v>1271</v>
      </c>
      <c r="B8" s="3559">
        <v>15</v>
      </c>
      <c r="C8" s="3575"/>
      <c r="D8" s="3595"/>
      <c r="E8" s="130" t="s">
        <v>1272</v>
      </c>
      <c r="F8" s="1756"/>
      <c r="G8" s="1756"/>
      <c r="H8" s="1756"/>
      <c r="I8" s="1372"/>
    </row>
    <row r="9" spans="1:12" ht="12.75">
      <c r="A9" s="3572"/>
      <c r="B9" s="3559"/>
      <c r="C9" s="3577"/>
      <c r="D9" s="3595"/>
      <c r="E9" s="130" t="s">
        <v>1273</v>
      </c>
      <c r="F9" s="1756"/>
      <c r="G9" s="1756"/>
      <c r="H9" s="1756"/>
      <c r="I9" s="1372"/>
    </row>
    <row r="10" spans="1:12" ht="12.75">
      <c r="A10" s="3572" t="s">
        <v>1274</v>
      </c>
      <c r="B10" s="3559">
        <v>15</v>
      </c>
      <c r="C10" s="3575"/>
      <c r="D10" s="3595"/>
      <c r="E10" s="130" t="s">
        <v>1275</v>
      </c>
      <c r="F10" s="1756"/>
      <c r="G10" s="1756"/>
      <c r="H10" s="1756"/>
      <c r="I10" s="1372"/>
    </row>
    <row r="11" spans="1:12" ht="12.75">
      <c r="A11" s="3572"/>
      <c r="B11" s="3559"/>
      <c r="C11" s="3577"/>
      <c r="D11" s="3595"/>
      <c r="E11" s="130" t="s">
        <v>1276</v>
      </c>
      <c r="F11" s="1756"/>
      <c r="G11" s="1756"/>
      <c r="H11" s="1756"/>
      <c r="I11" s="1372"/>
    </row>
    <row r="12" spans="1:12" ht="12.75">
      <c r="A12" s="3572" t="s">
        <v>1277</v>
      </c>
      <c r="B12" s="3559">
        <v>15</v>
      </c>
      <c r="C12" s="3575"/>
      <c r="D12" s="3595"/>
      <c r="E12" s="130" t="s">
        <v>1278</v>
      </c>
      <c r="F12" s="1756"/>
      <c r="G12" s="1756"/>
      <c r="H12" s="1756"/>
      <c r="I12" s="1372"/>
    </row>
    <row r="13" spans="1:12" ht="12.75">
      <c r="A13" s="3572"/>
      <c r="B13" s="3559"/>
      <c r="C13" s="3577"/>
      <c r="D13" s="3595"/>
      <c r="E13" s="130" t="s">
        <v>1279</v>
      </c>
      <c r="F13" s="1756"/>
      <c r="G13" s="1756"/>
      <c r="H13" s="1756"/>
      <c r="I13" s="1372"/>
    </row>
    <row r="14" spans="1:12" ht="12.75">
      <c r="A14" s="3572" t="s">
        <v>1280</v>
      </c>
      <c r="B14" s="3559">
        <v>30</v>
      </c>
      <c r="C14" s="3575">
        <v>7</v>
      </c>
      <c r="D14" s="3595">
        <v>3</v>
      </c>
      <c r="E14" s="130" t="s">
        <v>1281</v>
      </c>
      <c r="F14" s="1756"/>
      <c r="G14" s="1756"/>
      <c r="H14" s="1756"/>
      <c r="I14" s="1372"/>
    </row>
    <row r="15" spans="1:12" ht="12.75">
      <c r="A15" s="3572"/>
      <c r="B15" s="3559"/>
      <c r="C15" s="3576"/>
      <c r="D15" s="3595"/>
      <c r="E15" s="130" t="s">
        <v>1282</v>
      </c>
      <c r="F15" s="1756"/>
      <c r="G15" s="1756"/>
      <c r="H15" s="1756"/>
      <c r="I15" s="1372"/>
    </row>
    <row r="16" spans="1:12" ht="12.75">
      <c r="A16" s="3572"/>
      <c r="B16" s="3559"/>
      <c r="C16" s="3577"/>
      <c r="D16" s="3595"/>
      <c r="E16" s="130" t="s">
        <v>1283</v>
      </c>
      <c r="F16" s="1756"/>
      <c r="G16" s="1756"/>
      <c r="H16" s="1756"/>
      <c r="I16" s="1372"/>
    </row>
    <row r="17" spans="1:36" ht="15">
      <c r="A17" s="1757" t="s">
        <v>1284</v>
      </c>
      <c r="B17" s="56"/>
      <c r="C17" s="131">
        <f>SUM(C5:C16)</f>
        <v>7</v>
      </c>
      <c r="D17" s="131">
        <f>SUM(D5:D16)</f>
        <v>3</v>
      </c>
      <c r="E17" s="128"/>
      <c r="F17" s="128"/>
      <c r="G17" s="128"/>
      <c r="H17" s="128"/>
      <c r="I17" s="128"/>
      <c r="K17" s="301"/>
      <c r="L17" s="301" t="s">
        <v>1285</v>
      </c>
      <c r="M17" s="301" t="s">
        <v>1286</v>
      </c>
    </row>
    <row r="18" spans="1:36" ht="31.9" customHeight="1" thickBot="1">
      <c r="A18" s="1758" t="s">
        <v>1287</v>
      </c>
      <c r="B18" s="1759"/>
      <c r="C18" s="132">
        <f>ROUND(C17/SUM(C17:D17),2)</f>
        <v>0.7</v>
      </c>
      <c r="D18" s="132">
        <f>1-C18</f>
        <v>0.30000000000000004</v>
      </c>
      <c r="E18" s="3582" t="s">
        <v>2130</v>
      </c>
      <c r="F18" s="3583"/>
      <c r="G18" s="3583"/>
      <c r="H18" s="3583"/>
      <c r="I18" s="3583"/>
      <c r="J18" s="3468" t="s">
        <v>3504</v>
      </c>
      <c r="K18" s="301" t="s">
        <v>1288</v>
      </c>
      <c r="L18" s="301">
        <f>IF(C1="",'数据-汇总表'!E3,SUMIF(项目类型,C1,'数据-汇总表'!E17:E26)+SUMIF(项目类型,C1,'数据-汇总表'!I17:I26))</f>
        <v>131.02000000000001</v>
      </c>
      <c r="M18" s="301">
        <f>IF(C1="",'数据-汇总表'!E3,SUMIF(项目类型,C1,'数据-汇总表'!E17:E26))</f>
        <v>131.02000000000001</v>
      </c>
    </row>
    <row r="19" spans="1:36" ht="15">
      <c r="A19" s="1760" t="s">
        <v>1289</v>
      </c>
      <c r="B19" s="1761" t="s">
        <v>1290</v>
      </c>
      <c r="C19" s="133">
        <f ca="1">SUMIF(INDIRECT("'"&amp;C4&amp;"'"&amp;"!A:A"),结果表!B19,INDIRECT("'"&amp;C4&amp;"'"&amp;"!B:B"))</f>
        <v>385.02850000000001</v>
      </c>
      <c r="D19" s="134">
        <f ca="1">SUMIF(INDIRECT("'"&amp;D4&amp;"'"&amp;"!A:A"),结果表!B19,INDIRECT("'"&amp;D4&amp;"'"&amp;"!B:B"))</f>
        <v>288.02839999999998</v>
      </c>
      <c r="E19" s="1760" t="s">
        <v>1291</v>
      </c>
      <c r="F19" s="1761" t="s">
        <v>1290</v>
      </c>
      <c r="G19" s="135">
        <f ca="1">ROUND(C19*$C$18+D19*$D$18,0)</f>
        <v>356</v>
      </c>
      <c r="H19" s="1762" t="s">
        <v>1292</v>
      </c>
      <c r="I19" s="128"/>
      <c r="J19" s="724">
        <v>367</v>
      </c>
      <c r="K19" s="301" t="s">
        <v>1293</v>
      </c>
      <c r="L19" s="301">
        <f>IF(C1="",'数据-汇总表'!D3,SUMIF(项目类型,C1,'数据-汇总表'!D17:D26)+SUMIF(项目类型,C1,'数据-汇总表'!H17:H27))</f>
        <v>12.1</v>
      </c>
      <c r="M19" s="301">
        <f>IF(C1="",'数据-汇总表'!D3,SUMIF(项目类型,C1,'数据-汇总表'!D17:D26))</f>
        <v>12.1</v>
      </c>
    </row>
    <row r="20" spans="1:36" ht="15">
      <c r="A20" s="1763"/>
      <c r="B20" s="1025" t="s">
        <v>1294</v>
      </c>
      <c r="C20" s="136">
        <f ca="1">SUMIF(INDIRECT("'"&amp;C4&amp;"'"&amp;"!A:A"),结果表!B20,INDIRECT("'"&amp;C4&amp;"'"&amp;"!B:B"))</f>
        <v>29387</v>
      </c>
      <c r="D20" s="137">
        <f ca="1">SUMIF(INDIRECT("'"&amp;D4&amp;"'"&amp;"!A:A"),结果表!B20,INDIRECT("'"&amp;D4&amp;"'"&amp;"!B:B"))</f>
        <v>21984</v>
      </c>
      <c r="E20" s="1763"/>
      <c r="F20" s="1025" t="s">
        <v>1294</v>
      </c>
      <c r="G20" s="138">
        <f ca="1">ROUND(C20*$C$18+D20*$D$18,0)</f>
        <v>27166</v>
      </c>
      <c r="H20" s="807" t="s">
        <v>1295</v>
      </c>
      <c r="I20" s="128"/>
      <c r="J20" s="724">
        <f ca="1">G19/J19</f>
        <v>0.97002724795640327</v>
      </c>
    </row>
    <row r="21" spans="1:36" ht="15" customHeight="1" thickBot="1">
      <c r="A21" s="827"/>
      <c r="B21" s="1764" t="s">
        <v>1296</v>
      </c>
      <c r="C21" s="718">
        <f ca="1">ROUND(C19*10000/L19,0)</f>
        <v>318205</v>
      </c>
      <c r="D21" s="719">
        <f ca="1">ROUND(D19*10000/L19,0)</f>
        <v>238040</v>
      </c>
      <c r="E21" s="827"/>
      <c r="F21" s="1764" t="s">
        <v>1296</v>
      </c>
      <c r="G21" s="139">
        <f ca="1">ROUND(G19*10000/L19,0)</f>
        <v>294215</v>
      </c>
      <c r="H21" s="1765" t="s">
        <v>1295</v>
      </c>
      <c r="I21" s="128"/>
    </row>
    <row r="22" spans="1:36" ht="15" thickBot="1">
      <c r="A22" s="1687" t="s">
        <v>1297</v>
      </c>
      <c r="B22" s="1766"/>
      <c r="C22" s="1767"/>
      <c r="D22" s="720">
        <f ca="1">IF(C19&lt;D19,D19/C19-1,C19/D19-1)</f>
        <v>0.33677269324830483</v>
      </c>
      <c r="E22" s="128"/>
      <c r="F22" s="128"/>
      <c r="G22" s="128"/>
      <c r="H22" s="128"/>
      <c r="I22" s="128"/>
    </row>
    <row r="23" spans="1:36" ht="13.5" thickBot="1">
      <c r="A23" s="1746"/>
      <c r="B23" s="1746"/>
      <c r="C23" s="1746"/>
      <c r="D23" s="1746"/>
      <c r="E23" s="128"/>
      <c r="F23" s="128"/>
      <c r="G23" s="128"/>
      <c r="H23" s="128"/>
      <c r="I23" s="128"/>
    </row>
    <row r="24" spans="1:36" ht="14.25">
      <c r="A24" s="3566" t="s">
        <v>1298</v>
      </c>
      <c r="B24" s="1761" t="s">
        <v>1290</v>
      </c>
      <c r="C24" s="135">
        <f>IF(B30=0,0,D30)</f>
        <v>0</v>
      </c>
      <c r="D24" s="1768"/>
      <c r="E24" s="128"/>
      <c r="F24" s="128"/>
      <c r="G24" s="128"/>
      <c r="H24" s="128"/>
      <c r="I24" s="128"/>
    </row>
    <row r="25" spans="1:36" ht="14.25">
      <c r="A25" s="3567"/>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27166</v>
      </c>
      <c r="D32" s="1774" t="s">
        <v>3502</v>
      </c>
      <c r="E32" s="128"/>
      <c r="F32" s="128"/>
      <c r="G32" s="128"/>
      <c r="H32" s="128"/>
      <c r="I32" s="128"/>
    </row>
    <row r="33" spans="1:15" ht="15">
      <c r="A33" s="785" t="s">
        <v>1305</v>
      </c>
      <c r="B33" s="1775"/>
      <c r="C33" s="1776" t="s">
        <v>3503</v>
      </c>
      <c r="D33" s="1777"/>
      <c r="E33" s="1778" t="s">
        <v>1306</v>
      </c>
      <c r="F33" s="1779" t="str">
        <f>IF(D32="楼面单价","取值（单价）","取值（总价）")</f>
        <v>取值（单价）</v>
      </c>
      <c r="G33" s="128"/>
      <c r="H33" s="128"/>
      <c r="I33" s="128"/>
    </row>
    <row r="34" spans="1:15" ht="15">
      <c r="A34" s="1780"/>
      <c r="B34" s="1781" t="s">
        <v>1307</v>
      </c>
      <c r="C34" s="147">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8"/>
      <c r="H34" s="128"/>
      <c r="I34" s="128"/>
    </row>
    <row r="35" spans="1:15" ht="15.7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3"/>
      <c r="G35" s="128"/>
      <c r="H35" s="128"/>
      <c r="I35" s="128"/>
    </row>
    <row r="36" spans="1:15" ht="15.75" thickBot="1">
      <c r="A36" s="3586" t="s">
        <v>1311</v>
      </c>
      <c r="B36" s="1786" t="s">
        <v>1312</v>
      </c>
      <c r="C36" s="144"/>
      <c r="D36" s="1787"/>
      <c r="E36" s="1788"/>
      <c r="F36" s="1789"/>
      <c r="G36" s="128"/>
      <c r="H36" s="128"/>
      <c r="I36" s="128"/>
    </row>
    <row r="37" spans="1:15" ht="15.75" thickBot="1">
      <c r="A37" s="3587"/>
      <c r="B37" s="1673" t="s">
        <v>1313</v>
      </c>
      <c r="C37" s="146"/>
      <c r="D37" s="1138"/>
      <c r="E37" s="1138"/>
      <c r="F37" s="1789"/>
      <c r="G37" s="128"/>
      <c r="H37" s="128"/>
      <c r="I37" s="128"/>
    </row>
    <row r="38" spans="1:15" ht="15.75" thickBot="1">
      <c r="A38" s="3588"/>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3" t="s">
        <v>1325</v>
      </c>
      <c r="B45" s="3564"/>
      <c r="C45" s="3565"/>
      <c r="D45" s="154">
        <f ca="1">ROUND(H101*F45,0)</f>
        <v>356</v>
      </c>
      <c r="E45" s="155" t="s">
        <v>1326</v>
      </c>
      <c r="F45" s="156">
        <v>1</v>
      </c>
      <c r="G45" s="157" t="s">
        <v>1327</v>
      </c>
      <c r="H45" s="128"/>
      <c r="I45" s="128"/>
      <c r="J45" s="3641" t="s">
        <v>1328</v>
      </c>
      <c r="K45" s="3641"/>
      <c r="L45" s="3641"/>
      <c r="M45" s="3641"/>
      <c r="N45" s="3641"/>
      <c r="O45" s="3641"/>
    </row>
    <row r="46" spans="1:15" ht="14.25" customHeight="1">
      <c r="A46" s="3560" t="s">
        <v>1329</v>
      </c>
      <c r="B46" s="3561"/>
      <c r="C46" s="3561"/>
      <c r="D46" s="3561"/>
      <c r="E46" s="3561"/>
      <c r="F46" s="3561"/>
      <c r="G46" s="3562"/>
      <c r="H46" s="1805"/>
      <c r="I46" s="158"/>
      <c r="J46" s="2519">
        <v>1</v>
      </c>
      <c r="K46" s="3622" t="s">
        <v>1330</v>
      </c>
      <c r="L46" s="3622"/>
      <c r="M46" s="3642"/>
      <c r="N46" s="3642"/>
      <c r="O46" s="3642"/>
    </row>
    <row r="47" spans="1:15" ht="12" customHeight="1">
      <c r="A47" s="159" t="s">
        <v>1331</v>
      </c>
      <c r="B47" s="160"/>
      <c r="C47" s="161"/>
      <c r="D47" s="1086" t="s">
        <v>1332</v>
      </c>
      <c r="E47" s="301" t="s">
        <v>1333</v>
      </c>
      <c r="F47" s="162" t="s">
        <v>1334</v>
      </c>
      <c r="G47" s="2542" t="s">
        <v>1335</v>
      </c>
      <c r="H47" s="2543"/>
      <c r="I47" s="158"/>
      <c r="J47" s="2519">
        <v>2</v>
      </c>
      <c r="K47" s="3622" t="s">
        <v>1336</v>
      </c>
      <c r="L47" s="3622"/>
      <c r="M47" s="3643">
        <f>'数据-取费表'!B2</f>
        <v>45407</v>
      </c>
      <c r="N47" s="3643"/>
      <c r="O47" s="3643"/>
    </row>
    <row r="48" spans="1:15" ht="25.5">
      <c r="A48" s="3591" t="s">
        <v>1337</v>
      </c>
      <c r="B48" s="3574"/>
      <c r="C48" s="357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622" t="s">
        <v>1339</v>
      </c>
      <c r="L48" s="3622"/>
      <c r="M48" s="3644">
        <f ca="1">H101</f>
        <v>356</v>
      </c>
      <c r="N48" s="3644"/>
      <c r="O48" s="3644"/>
    </row>
    <row r="49" spans="1:35" ht="25.5" customHeight="1">
      <c r="A49" s="2332" t="s">
        <v>1340</v>
      </c>
      <c r="B49" s="3558" t="s">
        <v>1341</v>
      </c>
      <c r="C49" s="3558"/>
      <c r="D49" s="1589">
        <v>0</v>
      </c>
      <c r="E49" s="323" t="s">
        <v>1342</v>
      </c>
      <c r="F49" s="2422" t="s">
        <v>28</v>
      </c>
      <c r="G49" s="3628"/>
      <c r="H49" s="2309" t="s">
        <v>2133</v>
      </c>
      <c r="I49" s="2310"/>
      <c r="J49" s="2519">
        <v>4</v>
      </c>
      <c r="K49" s="3622" t="str">
        <f>IF(项目基本情况!E8="房地产抵押价值","房地产抵押价值","抵押担保权已注销时的房地产抵押价值")</f>
        <v>房地产抵押价值</v>
      </c>
      <c r="L49" s="3622"/>
      <c r="M49" s="3644">
        <f ca="1">IF(项目基本情况!E8="房地产抵押价值",H107,H109)</f>
        <v>356</v>
      </c>
      <c r="N49" s="3644"/>
      <c r="O49" s="3644"/>
    </row>
    <row r="50" spans="1:35" ht="25.5" customHeight="1">
      <c r="A50" s="2547"/>
      <c r="B50" s="3558" t="s">
        <v>1343</v>
      </c>
      <c r="C50" s="3558"/>
      <c r="D50" s="2548"/>
      <c r="E50" s="331"/>
      <c r="F50" s="2422"/>
      <c r="G50" s="3629"/>
      <c r="H50" s="2311" t="s">
        <v>2134</v>
      </c>
      <c r="I50" s="2310"/>
      <c r="J50" s="3641" t="s">
        <v>1344</v>
      </c>
      <c r="K50" s="3641"/>
      <c r="L50" s="3641"/>
      <c r="M50" s="3641"/>
      <c r="N50" s="3641"/>
      <c r="O50" s="3641"/>
    </row>
    <row r="51" spans="1:35" ht="20.45" customHeight="1">
      <c r="A51" s="2549"/>
      <c r="B51" s="3558" t="s">
        <v>1345</v>
      </c>
      <c r="C51" s="3558"/>
      <c r="D51" s="1086"/>
      <c r="E51" s="326"/>
      <c r="F51" s="2422"/>
      <c r="G51" s="3630"/>
      <c r="H51" s="2311" t="s">
        <v>2135</v>
      </c>
      <c r="I51" s="2310"/>
      <c r="J51" s="2520" t="s">
        <v>1346</v>
      </c>
      <c r="K51" s="3622" t="s">
        <v>1347</v>
      </c>
      <c r="L51" s="3622"/>
      <c r="M51" s="2520" t="s">
        <v>1348</v>
      </c>
      <c r="N51" s="2520" t="s">
        <v>1349</v>
      </c>
      <c r="O51" s="2520" t="s">
        <v>1350</v>
      </c>
    </row>
    <row r="52" spans="1:35" ht="24" customHeight="1">
      <c r="A52" s="2334" t="s">
        <v>1351</v>
      </c>
      <c r="B52" s="3558" t="s">
        <v>1352</v>
      </c>
      <c r="C52" s="3558"/>
      <c r="D52" s="1086">
        <f ca="1">ROUND(D45*'数据-取费表'!B41/(1+'数据-取费表'!C42),0)</f>
        <v>19</v>
      </c>
      <c r="E52" s="2333" t="s">
        <v>1353</v>
      </c>
      <c r="F52" s="2550">
        <f>'数据-取费表'!B41</f>
        <v>5.6000000000000001E-2</v>
      </c>
      <c r="G52" s="2551"/>
      <c r="H52" s="2540"/>
      <c r="I52" s="1806"/>
      <c r="J52" s="2519">
        <v>1</v>
      </c>
      <c r="K52" s="3623" t="s">
        <v>1354</v>
      </c>
      <c r="L52" s="3623"/>
      <c r="M52" s="2521" t="b">
        <f>D48</f>
        <v>0</v>
      </c>
      <c r="N52" s="2519" t="str">
        <f>E48</f>
        <v>销售额×税（费）率</v>
      </c>
      <c r="O52" s="2522">
        <f>F48</f>
        <v>5.6000000000000001E-2</v>
      </c>
    </row>
    <row r="53" spans="1:35" ht="12" customHeight="1">
      <c r="A53" s="2334" t="s">
        <v>1355</v>
      </c>
      <c r="B53" s="3584" t="s">
        <v>2286</v>
      </c>
      <c r="C53" s="3585"/>
      <c r="D53" s="1086">
        <f ca="1">ROUND(D45*'数据-取费表'!B41/(1+'数据-取费表'!C42),0)</f>
        <v>19</v>
      </c>
      <c r="E53" s="2333" t="s">
        <v>1353</v>
      </c>
      <c r="F53" s="2550">
        <f>'数据-取费表'!B41</f>
        <v>5.6000000000000001E-2</v>
      </c>
      <c r="G53" s="2551"/>
      <c r="H53" s="2540"/>
      <c r="I53" s="1806"/>
      <c r="J53" s="2519">
        <v>2</v>
      </c>
      <c r="K53" s="3623" t="s">
        <v>1356</v>
      </c>
      <c r="L53" s="3623"/>
      <c r="M53" s="2521">
        <f t="shared" ref="M53:O54" ca="1" si="0">D55</f>
        <v>0</v>
      </c>
      <c r="N53" s="2519" t="str">
        <f t="shared" si="0"/>
        <v>销售额×税（费）率</v>
      </c>
      <c r="O53" s="2522" t="str">
        <f t="shared" si="0"/>
        <v>免征</v>
      </c>
    </row>
    <row r="54" spans="1:35" ht="12" customHeight="1">
      <c r="A54" s="2334" t="s">
        <v>1357</v>
      </c>
      <c r="B54" s="3584" t="s">
        <v>2287</v>
      </c>
      <c r="C54" s="3585"/>
      <c r="D54" s="1086">
        <f ca="1">C68</f>
        <v>19</v>
      </c>
      <c r="E54" s="326" t="s">
        <v>1358</v>
      </c>
      <c r="F54" s="2550">
        <f>'数据-取费表'!B41</f>
        <v>5.6000000000000001E-2</v>
      </c>
      <c r="G54" s="2551"/>
      <c r="H54" s="2552"/>
      <c r="I54" s="1806"/>
      <c r="J54" s="2519">
        <v>3</v>
      </c>
      <c r="K54" s="3623" t="s">
        <v>1359</v>
      </c>
      <c r="L54" s="3623"/>
      <c r="M54" s="2521">
        <f t="shared" ca="1" si="0"/>
        <v>202</v>
      </c>
      <c r="N54" s="2519" t="str">
        <f t="shared" si="0"/>
        <v>增值额×税（费）率</v>
      </c>
      <c r="O54" s="2523" t="str">
        <f t="shared" si="0"/>
        <v>免征</v>
      </c>
    </row>
    <row r="55" spans="1:35" ht="24" customHeight="1">
      <c r="A55" s="3573" t="s">
        <v>1360</v>
      </c>
      <c r="B55" s="3574"/>
      <c r="C55" s="3574"/>
      <c r="D55" s="2323">
        <f ca="1">IF(H55="个人住宅",0,ROUND(D45*I55,0))</f>
        <v>0</v>
      </c>
      <c r="E55" s="2333" t="s">
        <v>1361</v>
      </c>
      <c r="F55" s="2550" t="str">
        <f>IF(H55="正常",I55,"免征")</f>
        <v>免征</v>
      </c>
      <c r="G55" s="2551"/>
      <c r="H55" s="2546"/>
      <c r="I55" s="164">
        <f>'数据-取费表'!B49</f>
        <v>5.0000000000000001E-4</v>
      </c>
      <c r="J55" s="2519">
        <f>IF(H59="非个人房产","",4)</f>
        <v>4</v>
      </c>
      <c r="K55" s="3623" t="str">
        <f>IF(H59="非个人房产","——","个人所得税")</f>
        <v>个人所得税</v>
      </c>
      <c r="L55" s="3623"/>
      <c r="M55" s="2524">
        <f ca="1">D59</f>
        <v>3</v>
      </c>
      <c r="N55" s="2039" t="str">
        <f>E59</f>
        <v>差额计税</v>
      </c>
      <c r="O55" s="2525">
        <f>F59</f>
        <v>0.01</v>
      </c>
    </row>
    <row r="56" spans="1:35" ht="24.75">
      <c r="A56" s="3573" t="s">
        <v>1362</v>
      </c>
      <c r="B56" s="3574"/>
      <c r="C56" s="3574"/>
      <c r="D56" s="2323">
        <f ca="1">IF(H56="个人住宅",D57,D58)</f>
        <v>202</v>
      </c>
      <c r="E56" s="2333" t="s">
        <v>1363</v>
      </c>
      <c r="F56" s="2550" t="str">
        <f>IF(H56="正常",F58,"免征")</f>
        <v>免征</v>
      </c>
      <c r="G56" s="2553" t="s">
        <v>1364</v>
      </c>
      <c r="H56" s="2554"/>
      <c r="I56" s="1807"/>
      <c r="J56" s="2519" t="str">
        <f>IF(项目基本情况!K6="上海银行",IF(J55="",4,J55+1),"")</f>
        <v/>
      </c>
      <c r="K56" s="3646" t="str">
        <f>IF(项目基本情况!K6="上海银行","其他处置费用","")</f>
        <v/>
      </c>
      <c r="L56" s="3647"/>
      <c r="M56" s="2521" t="str">
        <f>IF(项目基本情况!K6="上海银行",M69,"")</f>
        <v/>
      </c>
      <c r="N56" s="3646" t="str">
        <f>IF(项目基本情况!K6="上海银行","包含处置中涉及的律师、诉讼、拍卖、评估等费用","")</f>
        <v/>
      </c>
      <c r="O56" s="3649"/>
    </row>
    <row r="57" spans="1:35" ht="12.75">
      <c r="A57" s="2334" t="s">
        <v>1340</v>
      </c>
      <c r="B57" s="3584" t="s">
        <v>1365</v>
      </c>
      <c r="C57" s="3585"/>
      <c r="D57" s="1589">
        <v>0</v>
      </c>
      <c r="E57" s="323" t="s">
        <v>1342</v>
      </c>
      <c r="F57" s="301"/>
      <c r="G57" s="2551"/>
      <c r="H57" s="2555"/>
      <c r="I57" s="1807"/>
      <c r="J57" s="3623">
        <f>IF(AND(J55="",J56=""),4,IF(项目基本情况!K6="上海银行",结果表!J56+1,结果表!J55+1))</f>
        <v>5</v>
      </c>
      <c r="K57" s="3623" t="s">
        <v>1366</v>
      </c>
      <c r="L57" s="2526" t="s">
        <v>1367</v>
      </c>
      <c r="M57" s="2527"/>
      <c r="N57" s="2528">
        <f ca="1">SUMIF(M52:M56,"&lt;9e307")</f>
        <v>205</v>
      </c>
      <c r="O57" s="2529"/>
      <c r="P57" s="2686">
        <f ca="1">N57/M49</f>
        <v>0.5758426966292135</v>
      </c>
    </row>
    <row r="58" spans="1:35" ht="24.75">
      <c r="A58" s="2334" t="s">
        <v>1351</v>
      </c>
      <c r="B58" s="3584" t="s">
        <v>1368</v>
      </c>
      <c r="C58" s="3558"/>
      <c r="D58" s="2323">
        <f ca="1">IF(H58="转让取得",C81,C97)</f>
        <v>202</v>
      </c>
      <c r="E58" s="2333" t="s">
        <v>1363</v>
      </c>
      <c r="F58" s="301" t="s">
        <v>28</v>
      </c>
      <c r="G58" s="2551"/>
      <c r="H58" s="2554"/>
      <c r="I58" s="1807"/>
      <c r="J58" s="3623"/>
      <c r="K58" s="3623"/>
      <c r="L58" s="2526" t="s">
        <v>1369</v>
      </c>
      <c r="M58" s="2530"/>
      <c r="N58" s="2531" t="str">
        <f ca="1">NUMBERSTRING(INT(N57*10000),2)&amp;"元整"</f>
        <v>贰佰零伍万元整</v>
      </c>
      <c r="O58" s="2532"/>
    </row>
    <row r="59" spans="1:35" ht="24.75" thickBot="1">
      <c r="A59" s="3626" t="s">
        <v>1370</v>
      </c>
      <c r="B59" s="3627"/>
      <c r="C59" s="3627"/>
      <c r="D59" s="2556">
        <f ca="1">IF(H59="非个人房产","——",IF(H59="个人住宅（满五唯一有凭证）",0,IF(H59="个人其他（无凭证）",ROUND(D45*F59,0),ROUND(C67*F59,0))))</f>
        <v>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624">
        <f>J57+1</f>
        <v>6</v>
      </c>
      <c r="K59" s="3623" t="s">
        <v>1371</v>
      </c>
      <c r="L59" s="2519" t="s">
        <v>1367</v>
      </c>
      <c r="M59" s="2533"/>
      <c r="N59" s="2534">
        <f ca="1">M49-N57</f>
        <v>151</v>
      </c>
      <c r="O59" s="2535"/>
    </row>
    <row r="60" spans="1:35" ht="12" customHeight="1">
      <c r="A60" s="1808"/>
      <c r="B60" s="1746"/>
      <c r="C60" s="1746"/>
      <c r="D60" s="1746"/>
      <c r="E60" s="1577"/>
      <c r="F60" s="1807"/>
      <c r="G60" s="1807"/>
      <c r="H60" s="1809"/>
      <c r="I60" s="128"/>
      <c r="J60" s="3625"/>
      <c r="K60" s="3623"/>
      <c r="L60" s="2526" t="s">
        <v>1369</v>
      </c>
      <c r="M60" s="2530"/>
      <c r="N60" s="2531" t="str">
        <f ca="1">NUMBERSTRING(INT(N59*10000),2)&amp;"元整"</f>
        <v>壹佰伍拾壹万元整</v>
      </c>
      <c r="O60" s="2532"/>
    </row>
    <row r="61" spans="1:35" ht="13.5" thickBot="1">
      <c r="A61" s="3571" t="s">
        <v>1372</v>
      </c>
      <c r="B61" s="3571"/>
      <c r="C61" s="3571"/>
      <c r="D61" s="3571"/>
      <c r="E61" s="3571"/>
      <c r="F61" s="1807"/>
      <c r="G61" s="1807"/>
      <c r="H61" s="1809"/>
      <c r="I61" s="128"/>
      <c r="J61" s="2519">
        <f>J59+1</f>
        <v>7</v>
      </c>
      <c r="K61" s="3623" t="s">
        <v>1373</v>
      </c>
      <c r="L61" s="3623"/>
      <c r="M61" s="2536"/>
      <c r="N61" s="2537">
        <f ca="1">ROUND(N59*10000/'数据-汇总表'!E3,0)</f>
        <v>11525</v>
      </c>
      <c r="O61" s="2538"/>
    </row>
    <row r="62" spans="1:35" ht="12.75">
      <c r="A62" s="3589" t="s">
        <v>1374</v>
      </c>
      <c r="B62" s="3590"/>
      <c r="C62" s="2020"/>
      <c r="D62" s="2020" t="s">
        <v>1375</v>
      </c>
      <c r="E62" s="165" t="s">
        <v>1376</v>
      </c>
      <c r="F62" s="1807"/>
      <c r="G62" s="1807"/>
      <c r="H62" s="1809"/>
      <c r="I62" s="128"/>
    </row>
    <row r="63" spans="1:35" ht="12.75">
      <c r="A63" s="172" t="s">
        <v>330</v>
      </c>
      <c r="B63" s="166" t="s">
        <v>1377</v>
      </c>
      <c r="C63" s="2560">
        <f ca="1">ROUND((C64+C65)/(1+'数据-取费表'!C42),0)</f>
        <v>339</v>
      </c>
      <c r="D63" s="166"/>
      <c r="E63" s="167"/>
      <c r="F63" s="1807"/>
      <c r="G63" s="1807"/>
      <c r="H63" s="1809"/>
      <c r="I63" s="128"/>
      <c r="J63" s="3648" t="s">
        <v>1378</v>
      </c>
      <c r="K63" s="1331" t="s">
        <v>1379</v>
      </c>
      <c r="L63" s="1331">
        <f ca="1">IF(M49&gt;10000,M49*0.5%,IF(AND(M49&gt;1000,M49&lt;=10000),M49*1%,IF(AND(M49&gt;100,M49&lt;=1000),M49*3%,IF(AND(M49&gt;10,M49&lt;=100),M49*5%,M49*8%))))</f>
        <v>10.68</v>
      </c>
      <c r="M63" s="301">
        <f ca="1">ROUND(L63,1)</f>
        <v>10.7</v>
      </c>
      <c r="N63" s="2539"/>
      <c r="Z63" s="1751"/>
      <c r="AI63" s="1752"/>
    </row>
    <row r="64" spans="1:35" ht="14.25" customHeight="1">
      <c r="A64" s="168" t="s">
        <v>325</v>
      </c>
      <c r="B64" s="169" t="s">
        <v>1380</v>
      </c>
      <c r="C64" s="2561">
        <f ca="1">D45</f>
        <v>356</v>
      </c>
      <c r="D64" s="169" t="s">
        <v>26</v>
      </c>
      <c r="E64" s="171"/>
      <c r="F64" s="1807"/>
      <c r="G64" s="1807"/>
      <c r="H64" s="1809"/>
      <c r="I64" s="128"/>
      <c r="J64" s="3648"/>
      <c r="K64" s="1331" t="s">
        <v>1381</v>
      </c>
      <c r="L64" s="1331">
        <f ca="1">IF(M49&gt;2000,M49*0.5%,IF(AND(M49&gt;1000,M49&lt;=2000),M49*0.6%,IF(AND(M49&gt;500,M49&lt;=1000),M49*0.7%,IF(AND(M49&gt;200,M49&lt;=500),M49*0.8%,IF(AND(M49&gt;100,M49&lt;=200),M49*0.9%,IF(AND(M49&gt;50,M49&lt;=100),M49*1%,IF(AND(M49&gt;20,M49&lt;=50),M49*1.5%,IF(AND(M49&gt;10,M49&lt;=20),M49*2%,IF(AND(M49&gt;1,M49&lt;=10),M49*2.5%)))))))))</f>
        <v>2.8479999999999999</v>
      </c>
      <c r="M64" s="301">
        <f t="shared" ref="M64:M65" ca="1" si="1">ROUND(L64,1)</f>
        <v>2.8</v>
      </c>
      <c r="N64" s="2540" t="s">
        <v>1382</v>
      </c>
      <c r="Z64" s="1751"/>
      <c r="AI64" s="1752"/>
    </row>
    <row r="65" spans="1:35" ht="14.25" customHeight="1">
      <c r="A65" s="168" t="s">
        <v>326</v>
      </c>
      <c r="B65" s="169" t="s">
        <v>1383</v>
      </c>
      <c r="C65" s="2562"/>
      <c r="D65" s="169"/>
      <c r="E65" s="171"/>
      <c r="F65" s="1807"/>
      <c r="G65" s="1807"/>
      <c r="H65" s="1809"/>
      <c r="I65" s="128"/>
      <c r="J65" s="3648"/>
      <c r="K65" s="1331" t="s">
        <v>1384</v>
      </c>
      <c r="L65" s="1331">
        <f ca="1">IF(M49&gt;1000,M49*0.1%,IF(AND(M49&gt;500,M49&lt;=1000),M49*0.5%,IF(AND(M49&gt;50,M49&lt;=500),M49*1%,IF(AND(M49&gt;1,M49&lt;=50),M49*1.5%))))</f>
        <v>3.56</v>
      </c>
      <c r="M65" s="301">
        <f t="shared" ca="1" si="1"/>
        <v>3.6</v>
      </c>
      <c r="N65" s="2540" t="s">
        <v>1382</v>
      </c>
      <c r="Z65" s="1751"/>
      <c r="AI65" s="1752"/>
    </row>
    <row r="66" spans="1:35" ht="14.25" customHeight="1">
      <c r="A66" s="172" t="s">
        <v>327</v>
      </c>
      <c r="B66" s="173" t="s">
        <v>1385</v>
      </c>
      <c r="C66" s="2563"/>
      <c r="D66" s="173" t="s">
        <v>26</v>
      </c>
      <c r="E66" s="1337" t="s">
        <v>671</v>
      </c>
      <c r="F66" s="1807"/>
      <c r="G66" s="1807"/>
      <c r="H66" s="1809"/>
      <c r="I66" s="128"/>
      <c r="J66" s="3648"/>
      <c r="K66" s="1331" t="s">
        <v>1386</v>
      </c>
      <c r="L66" s="1331">
        <f ca="1">M49*0.5%</f>
        <v>1.78</v>
      </c>
      <c r="M66" s="301">
        <f ca="1">IF(L66&gt;0.5,0.5,ROUND(L66,0))</f>
        <v>0.5</v>
      </c>
      <c r="N66" s="2540" t="s">
        <v>1387</v>
      </c>
      <c r="Z66" s="1751"/>
      <c r="AI66" s="1752"/>
    </row>
    <row r="67" spans="1:35" ht="14.25" customHeight="1">
      <c r="A67" s="172" t="s">
        <v>328</v>
      </c>
      <c r="B67" s="173" t="s">
        <v>1388</v>
      </c>
      <c r="C67" s="2564">
        <f ca="1">C63-C66</f>
        <v>339</v>
      </c>
      <c r="D67" s="169" t="s">
        <v>26</v>
      </c>
      <c r="E67" s="171"/>
      <c r="F67" s="1807"/>
      <c r="G67" s="1807"/>
      <c r="H67" s="1809"/>
      <c r="I67" s="128"/>
      <c r="J67" s="3648"/>
      <c r="K67" s="1331" t="s">
        <v>1389</v>
      </c>
      <c r="L67" s="1331">
        <f ca="1">IF(M49&gt;=10000,(8.25+(M49-10000)*0.01%),IF(AND(M49&gt;=8000,M49&lt;10000),(7.85+(M49-8000)*0.02%),IF(AND(M49&gt;=5000,M49&lt;8000),(6.65+(M49-5000)*0.04%),IF(AND(M49&gt;=2000,M49&lt;5000),(4.25+(PM49-2000)*0.08%),IF(AND(M49&gt;=1000,M49&lt;2000),(2.75+(M49-1000)*0.15%),IF(AND(M49&gt;=100,M49&lt;1000),(0.5+(M49-100)*0.25%),IF(AND(M49&gt;0,M49&lt;100),M49*0.5%)))))))</f>
        <v>1.1400000000000001</v>
      </c>
      <c r="M67" s="301">
        <f ca="1">ROUND(L67*0.9,1)</f>
        <v>1</v>
      </c>
      <c r="N67" s="2539"/>
      <c r="Z67" s="1751"/>
      <c r="AI67" s="1752"/>
    </row>
    <row r="68" spans="1:35" ht="14.25" customHeight="1" thickBot="1">
      <c r="A68" s="175" t="s">
        <v>329</v>
      </c>
      <c r="B68" s="176" t="s">
        <v>1390</v>
      </c>
      <c r="C68" s="2565">
        <f ca="1">IF(C67&lt;=0,0,ROUND(C67*D68,0))</f>
        <v>19</v>
      </c>
      <c r="D68" s="2566">
        <f>'数据-取费表'!B41</f>
        <v>5.6000000000000001E-2</v>
      </c>
      <c r="E68" s="177"/>
      <c r="F68" s="1807"/>
      <c r="G68" s="1807"/>
      <c r="H68" s="1809"/>
      <c r="I68" s="128"/>
      <c r="J68" s="3648"/>
      <c r="K68" s="1331" t="s">
        <v>1391</v>
      </c>
      <c r="L68" s="1331">
        <f ca="1">IF(M49&gt;10000,M49*0.5%,IF(AND(M49&gt;5000,M49&lt;=10000),M49*1%,IF(AND(M49&gt;1000,M49&lt;=5000),M49*2%,IF(AND(M49&gt;200,M49&lt;=1000),M49*3%,M49*5%))))</f>
        <v>10.68</v>
      </c>
      <c r="M68" s="301">
        <f ca="1">ROUND(L68,1)</f>
        <v>10.7</v>
      </c>
      <c r="N68" s="2539"/>
      <c r="Z68" s="1751"/>
      <c r="AI68" s="1752"/>
    </row>
    <row r="69" spans="1:35" s="1771" customFormat="1" ht="16.5" customHeight="1">
      <c r="A69" s="1810"/>
      <c r="B69" s="1811"/>
      <c r="C69" s="1812"/>
      <c r="D69" s="1813"/>
      <c r="E69" s="1814"/>
      <c r="F69" s="1577"/>
      <c r="G69" s="1577"/>
      <c r="H69" s="1576"/>
      <c r="I69" s="1746"/>
      <c r="J69" s="3648"/>
      <c r="K69" s="1331" t="s">
        <v>1392</v>
      </c>
      <c r="L69" s="1331"/>
      <c r="M69" s="301">
        <f ca="1">ROUND(SUM(M63:M68),0)</f>
        <v>29</v>
      </c>
      <c r="N69" s="2541">
        <f ca="1">M69/M49</f>
        <v>8.1460674157303375E-2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1393</v>
      </c>
      <c r="B70" s="3611"/>
      <c r="C70" s="3611"/>
      <c r="D70" s="3611"/>
      <c r="E70" s="3611"/>
      <c r="F70" s="3611"/>
      <c r="G70" s="3611"/>
      <c r="H70" s="361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1374</v>
      </c>
      <c r="B71" s="3590"/>
      <c r="C71" s="2020"/>
      <c r="D71" s="2020" t="s">
        <v>1375</v>
      </c>
      <c r="E71" s="178" t="s">
        <v>1376</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1394</v>
      </c>
      <c r="C72" s="2564">
        <f ca="1">ROUND(D45/(1+'数据-取费表'!C42),0)</f>
        <v>339</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1395</v>
      </c>
      <c r="C73" s="2564">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1397</v>
      </c>
      <c r="C75" s="2567"/>
      <c r="D75" s="169" t="s">
        <v>26</v>
      </c>
      <c r="E75" s="183" t="s">
        <v>1398</v>
      </c>
      <c r="F75" s="2568"/>
      <c r="G75" s="183"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0">
        <v>0.05</v>
      </c>
      <c r="E76" s="3584" t="s">
        <v>1401</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1">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2">
        <f ca="1">ROUND(D45*D78/(1+'数据-取费表'!C42),0)</f>
        <v>2</v>
      </c>
      <c r="D78" s="2573">
        <f>'数据-取费表'!B43</f>
        <v>6.000000000000001E-3</v>
      </c>
      <c r="E78" s="3568" t="s">
        <v>1405</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1406</v>
      </c>
      <c r="C79" s="2564">
        <f ca="1">C72-C73</f>
        <v>337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4">
        <f ca="1">IF(C79&lt;=0,0,C79/C73)</f>
        <v>168.5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1408</v>
      </c>
      <c r="C81" s="2575">
        <f ca="1">ROUND(IF(C79&lt;=0,0,IF(C80&gt;=200%,C79*60%-C73*35%,IF(C80&gt;=100%,C79*50%-C73*15%,IF(C80&gt;=50%,C79*40%-C73*5%,IF(C80&lt;50%,C79*30%,0))))),0)</f>
        <v>202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1409</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1374</v>
      </c>
      <c r="B84" s="3590"/>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1394</v>
      </c>
      <c r="C85" s="2564">
        <f ca="1">ROUND(D45/(1+'数据-取费表'!C42),0)</f>
        <v>339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1395</v>
      </c>
      <c r="C86" s="2564">
        <f ca="1">IF(H88="仅含出让金",C87+C90+C91+C92+C93+C94,C87+C91+C92+C93+C94)</f>
        <v>2</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1411</v>
      </c>
      <c r="C88" s="2578"/>
      <c r="D88" s="2573"/>
      <c r="E88" s="192" t="s">
        <v>1412</v>
      </c>
      <c r="F88" s="2326"/>
      <c r="G88" s="193"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1402</v>
      </c>
      <c r="C89" s="2572">
        <f>ROUND(C88*D89,0)</f>
        <v>0</v>
      </c>
      <c r="D89" s="2573">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1415</v>
      </c>
      <c r="C90" s="2578"/>
      <c r="D90" s="2573"/>
      <c r="E90" s="192" t="str">
        <f>IF(H88="-","土地取得成本中已包含该笔费用"," ")</f>
        <v xml:space="preserve"> </v>
      </c>
      <c r="F90" s="2326"/>
      <c r="G90" s="3650" t="s">
        <v>2128</v>
      </c>
      <c r="H90" s="3651"/>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2">
        <f>IF(H91="——",成本法!C33,I91)</f>
        <v>0</v>
      </c>
      <c r="D91" s="2573"/>
      <c r="E91" s="3568" t="s">
        <v>1418</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2">
        <f>ROUND((C87+C90+C91)*D92,0)</f>
        <v>0</v>
      </c>
      <c r="D92" s="2579"/>
      <c r="E92" s="3568" t="s">
        <v>1421</v>
      </c>
      <c r="F92" s="3569"/>
      <c r="G92" s="3569"/>
      <c r="H92" s="3578"/>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2">
        <f ca="1">ROUND(D45*D93/(1+'数据-取费表'!C42),0)</f>
        <v>2</v>
      </c>
      <c r="D93" s="2573">
        <f>'数据-取费表'!B43</f>
        <v>6.000000000000001E-3</v>
      </c>
      <c r="E93" s="3568" t="s">
        <v>1405</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78">
        <f>ROUND((C87+C90+C91)*D94,0)</f>
        <v>0</v>
      </c>
      <c r="D94" s="2573">
        <v>0.2</v>
      </c>
      <c r="E94" s="3579" t="s">
        <v>1425</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1406</v>
      </c>
      <c r="C95" s="2564">
        <f ca="1">ROUND(C85-C86,0)</f>
        <v>337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4">
        <f ca="1">IF(C95&lt;=0,0,C95/C86)</f>
        <v>168.5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1408</v>
      </c>
      <c r="C97" s="2575">
        <f ca="1">ROUND(IF(C95&lt;=0,0,IF(C96&gt;=200%,C95*60%-C86*35%,IF(C96&gt;=100%,C95*50%-C86*15%,IF(C96&gt;=50%,C95*40%-C86*5%,IF(C96&lt;50%,C95*30%,0))))),0)</f>
        <v>202</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552" t="s">
        <v>1427</v>
      </c>
      <c r="B100" s="3553"/>
      <c r="C100" s="3553"/>
      <c r="D100" s="3570"/>
      <c r="E100" s="3553" t="s">
        <v>1428</v>
      </c>
      <c r="F100" s="3553"/>
      <c r="G100" s="3553"/>
      <c r="H100" s="3570"/>
      <c r="I100" s="128"/>
    </row>
    <row r="101" spans="1:35" ht="18.75" customHeight="1">
      <c r="A101" s="3631" t="s">
        <v>1429</v>
      </c>
      <c r="B101" s="3632"/>
      <c r="C101" s="2581" t="str">
        <f>C4</f>
        <v>比较法-办公售价</v>
      </c>
      <c r="D101" s="2582" t="str">
        <f>D4</f>
        <v>收益法 (元)</v>
      </c>
      <c r="E101" s="3645" t="s">
        <v>1430</v>
      </c>
      <c r="F101" s="3602"/>
      <c r="G101" s="1826" t="s">
        <v>1431</v>
      </c>
      <c r="H101" s="2591">
        <f ca="1">H118</f>
        <v>356</v>
      </c>
      <c r="I101" s="128"/>
    </row>
    <row r="102" spans="1:35" ht="18.75" customHeight="1">
      <c r="A102" s="3604" t="s">
        <v>1432</v>
      </c>
      <c r="B102" s="2580" t="s">
        <v>1431</v>
      </c>
      <c r="C102" s="2581">
        <f ca="1">IF(D32="楼面单价",ROUND(C19,0),C19)</f>
        <v>385</v>
      </c>
      <c r="D102" s="2582">
        <f ca="1">IF(D32="楼面单价",ROUND(D19,0),D19)</f>
        <v>288</v>
      </c>
      <c r="E102" s="3645"/>
      <c r="F102" s="3602"/>
      <c r="G102" s="1826" t="s">
        <v>1433</v>
      </c>
      <c r="H102" s="2551">
        <f ca="1">I118</f>
        <v>27166</v>
      </c>
      <c r="I102" s="128"/>
    </row>
    <row r="103" spans="1:35" ht="42.75" customHeight="1">
      <c r="A103" s="3604"/>
      <c r="B103" s="2580" t="s">
        <v>1433</v>
      </c>
      <c r="C103" s="2583">
        <f ca="1">C20</f>
        <v>29387</v>
      </c>
      <c r="D103" s="2584">
        <f ca="1">D20</f>
        <v>21984</v>
      </c>
      <c r="E103" s="3639" t="s">
        <v>1434</v>
      </c>
      <c r="F103" s="3640"/>
      <c r="G103" s="1827" t="s">
        <v>1435</v>
      </c>
      <c r="H103" s="2591">
        <f>IF(D36="正常操作",H104+H105+H106,H105+H106)</f>
        <v>0</v>
      </c>
      <c r="I103" s="128"/>
    </row>
    <row r="104" spans="1:35" ht="18.75" customHeight="1">
      <c r="A104" s="3604" t="s">
        <v>1436</v>
      </c>
      <c r="B104" s="2585" t="s">
        <v>1431</v>
      </c>
      <c r="C104" s="2586">
        <f ca="1">H118</f>
        <v>356</v>
      </c>
      <c r="D104" s="2587"/>
      <c r="E104" s="1673" t="s">
        <v>1437</v>
      </c>
      <c r="F104" s="1665"/>
      <c r="G104" s="1827" t="s">
        <v>1435</v>
      </c>
      <c r="H104" s="2592">
        <f>IF(D36="同一抵押权人同一抵押物续贷",C36&amp;"（续贷，未扣减，详见特别提示）",C36)</f>
        <v>0</v>
      </c>
      <c r="I104" s="128"/>
    </row>
    <row r="105" spans="1:35" ht="18.75" customHeight="1" thickBot="1">
      <c r="A105" s="3605"/>
      <c r="B105" s="2588" t="s">
        <v>1433</v>
      </c>
      <c r="C105" s="2589">
        <f ca="1">I118</f>
        <v>27166</v>
      </c>
      <c r="D105" s="2590"/>
      <c r="E105" s="1673" t="s">
        <v>1438</v>
      </c>
      <c r="F105" s="1665"/>
      <c r="G105" s="1827" t="s">
        <v>1435</v>
      </c>
      <c r="H105" s="2593">
        <f>C37</f>
        <v>0</v>
      </c>
      <c r="I105" s="128"/>
    </row>
    <row r="106" spans="1:35" ht="18.75" customHeight="1">
      <c r="A106" s="1746" t="s">
        <v>1439</v>
      </c>
      <c r="B106" s="1746"/>
      <c r="C106" s="1746"/>
      <c r="D106" s="1746"/>
      <c r="E106" s="1828" t="s">
        <v>1440</v>
      </c>
      <c r="F106" s="1665"/>
      <c r="G106" s="1827" t="s">
        <v>1435</v>
      </c>
      <c r="H106" s="2593">
        <f>C38</f>
        <v>0</v>
      </c>
      <c r="I106" s="128"/>
    </row>
    <row r="107" spans="1:35" ht="18.75" customHeight="1">
      <c r="A107" s="128"/>
      <c r="B107" s="128"/>
      <c r="C107" s="128"/>
      <c r="D107" s="128"/>
      <c r="E107" s="3601" t="str">
        <f>IF(项目基本情况!E8="已注销","——","3.房地产抵押价值")</f>
        <v>3.房地产抵押价值</v>
      </c>
      <c r="F107" s="3602"/>
      <c r="G107" s="1826" t="s">
        <v>1431</v>
      </c>
      <c r="H107" s="2591">
        <f ca="1">IF(E107="——","——",H101-H103)</f>
        <v>356</v>
      </c>
      <c r="I107" s="128"/>
    </row>
    <row r="108" spans="1:35" ht="18.75" customHeight="1">
      <c r="A108" s="128"/>
      <c r="B108" s="128"/>
      <c r="C108" s="128"/>
      <c r="D108" s="128"/>
      <c r="E108" s="3601"/>
      <c r="F108" s="3602"/>
      <c r="G108" s="1826" t="s">
        <v>1433</v>
      </c>
      <c r="H108" s="2551">
        <f ca="1">IF(H107=H101,H102,ROUND(H107*10000/'数据-汇总表'!E3,0))</f>
        <v>27166</v>
      </c>
      <c r="I108" s="128"/>
    </row>
    <row r="109" spans="1:35" ht="18.75" customHeight="1">
      <c r="A109" s="128"/>
      <c r="B109" s="128"/>
      <c r="C109" s="128"/>
      <c r="D109" s="128"/>
      <c r="E109" s="3601" t="str">
        <f>IF(项目基本情况!E8="已注销及未注销","4.抵押担保权已注销时的房地产抵押价值",IF(项目基本情况!E8="已注销","3.抵押担保权已注销时的房地产抵押价值","——"))</f>
        <v>——</v>
      </c>
      <c r="F109" s="3602"/>
      <c r="G109" s="1826" t="s">
        <v>1431</v>
      </c>
      <c r="H109" s="2594" t="str">
        <f>IF(E109="——","——",H101-H105-H106)</f>
        <v>——</v>
      </c>
      <c r="I109" s="128"/>
    </row>
    <row r="110" spans="1:35" ht="18.75" customHeight="1">
      <c r="A110" s="128"/>
      <c r="B110" s="128"/>
      <c r="C110" s="128"/>
      <c r="D110" s="128"/>
      <c r="E110" s="3601"/>
      <c r="F110" s="3602"/>
      <c r="G110" s="1826" t="s">
        <v>1433</v>
      </c>
      <c r="H110" s="2551" t="str">
        <f>IF(H109="——","——",ROUND(H109*10000/'数据-汇总表'!E3,0))</f>
        <v>——</v>
      </c>
      <c r="I110" s="128"/>
    </row>
    <row r="111" spans="1:35" ht="18.75" customHeight="1">
      <c r="A111" s="128"/>
      <c r="B111" s="128"/>
      <c r="C111" s="128"/>
      <c r="D111" s="128"/>
      <c r="E111" s="3633" t="str">
        <f>IF(项目基本情况!E9="抵押净值",IF(OR(项目基本情况!E8="已注销",项目基本情况!E8="房地产抵押价值"),"4.抵押净值","5.抵押净值"),"——")</f>
        <v>——</v>
      </c>
      <c r="F111" s="3603"/>
      <c r="G111" s="1826" t="s">
        <v>1431</v>
      </c>
      <c r="H111" s="2591" t="str">
        <f>IF(E111="——","——",N59)</f>
        <v>——</v>
      </c>
      <c r="I111" s="128"/>
    </row>
    <row r="112" spans="1:35" ht="18.75" customHeight="1" thickBot="1">
      <c r="A112" s="128"/>
      <c r="B112" s="128"/>
      <c r="C112" s="128"/>
      <c r="D112" s="128"/>
      <c r="E112" s="3634"/>
      <c r="F112" s="3635"/>
      <c r="G112" s="1829" t="s">
        <v>1433</v>
      </c>
      <c r="H112" s="2595" t="str">
        <f>IF(E111="——","——",N61)</f>
        <v>——</v>
      </c>
      <c r="I112" s="128"/>
    </row>
    <row r="113" spans="1:27" ht="18.75" customHeight="1">
      <c r="A113" s="128"/>
      <c r="B113" s="128"/>
      <c r="C113" s="128"/>
      <c r="D113" s="128"/>
      <c r="E113" s="3606" t="s">
        <v>1439</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6" t="s">
        <v>1441</v>
      </c>
      <c r="B115" s="3617"/>
      <c r="C115" s="3617"/>
      <c r="D115" s="3617"/>
      <c r="E115" s="3617"/>
      <c r="F115" s="3617"/>
      <c r="G115" s="3617"/>
      <c r="H115" s="3617"/>
      <c r="I115" s="3618"/>
    </row>
    <row r="116" spans="1:27" ht="27" customHeight="1">
      <c r="A116" s="3572" t="s">
        <v>1442</v>
      </c>
      <c r="B116" s="3607" t="s">
        <v>1443</v>
      </c>
      <c r="C116" s="3607" t="s">
        <v>1444</v>
      </c>
      <c r="D116" s="3620" t="s">
        <v>1445</v>
      </c>
      <c r="E116" s="3621"/>
      <c r="F116" s="3615" t="s">
        <v>1446</v>
      </c>
      <c r="G116" s="3615"/>
      <c r="H116" s="3572" t="s">
        <v>1447</v>
      </c>
      <c r="I116" s="3572"/>
    </row>
    <row r="117" spans="1:27" ht="18.75" customHeight="1">
      <c r="A117" s="3572"/>
      <c r="B117" s="3608"/>
      <c r="C117" s="3608"/>
      <c r="D117" s="2328" t="s">
        <v>1448</v>
      </c>
      <c r="E117" s="2328" t="s">
        <v>1449</v>
      </c>
      <c r="F117" s="2328" t="s">
        <v>1448</v>
      </c>
      <c r="G117" s="2328" t="s">
        <v>1450</v>
      </c>
      <c r="H117" s="2328" t="s">
        <v>1448</v>
      </c>
      <c r="I117" s="2328" t="s">
        <v>1450</v>
      </c>
    </row>
    <row r="118" spans="1:27" ht="24.75" customHeight="1">
      <c r="A118" s="2596" t="str">
        <f>项目基本情况!S2</f>
        <v>北京市东城区灯市口大街33号4层425房地产</v>
      </c>
      <c r="B118" s="2328">
        <f>M18</f>
        <v>131.02000000000001</v>
      </c>
      <c r="C118" s="2328">
        <f>M19</f>
        <v>12.1</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356</v>
      </c>
      <c r="I118" s="2328">
        <f ca="1">ROUND(IF(D32="楼面单价",C32,H118*10000/B118),0)</f>
        <v>27166</v>
      </c>
    </row>
    <row r="119" spans="1:27" ht="18.75" customHeight="1">
      <c r="A119" s="3572" t="s">
        <v>1451</v>
      </c>
      <c r="B119" s="3572"/>
      <c r="C119" s="3572"/>
      <c r="D119" s="3612" t="str">
        <f>NUMBERSTRING(INT(D118*10000),2)&amp;"元整"</f>
        <v>零元整</v>
      </c>
      <c r="E119" s="3614"/>
      <c r="F119" s="3612" t="str">
        <f>NUMBERSTRING(INT(F118*10000),2)&amp;"元整"</f>
        <v>零元整</v>
      </c>
      <c r="G119" s="3614"/>
      <c r="H119" s="3612" t="str">
        <f ca="1">NUMBERSTRING(INT(H118*10000),2)&amp;"元整"</f>
        <v>叁佰伍拾陆万元整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1451</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356</v>
      </c>
      <c r="E122" s="3637"/>
      <c r="F122" s="3637"/>
      <c r="G122" s="3637"/>
      <c r="H122" s="3637"/>
      <c r="I122" s="3638"/>
      <c r="AA122" s="724"/>
    </row>
    <row r="123" spans="1:27" ht="18.75" customHeight="1">
      <c r="A123" s="3572" t="s">
        <v>1451</v>
      </c>
      <c r="B123" s="3572"/>
      <c r="C123" s="3572"/>
      <c r="D123" s="3612" t="str">
        <f ca="1">NUMBERSTRING(INT(D122*10000),2)&amp;"元整"</f>
        <v>叁佰伍拾陆万元整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1451</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1451</v>
      </c>
      <c r="B127" s="3572"/>
      <c r="C127" s="3572"/>
      <c r="D127" s="3612" t="e">
        <f>NUMBERSTRING(INT(D126*10000),2)&amp;"元整"</f>
        <v>#VALUE!</v>
      </c>
      <c r="E127" s="3613"/>
      <c r="F127" s="3613"/>
      <c r="G127" s="3613"/>
      <c r="H127" s="3613"/>
      <c r="I127" s="3614"/>
      <c r="AA127" s="724"/>
    </row>
    <row r="128" spans="1:27" ht="21.75" customHeight="1">
      <c r="A128" s="3619" t="s">
        <v>1452</v>
      </c>
      <c r="B128" s="3619"/>
      <c r="C128" s="3619"/>
      <c r="D128" s="3619"/>
      <c r="E128" s="3619"/>
      <c r="F128" s="3619"/>
      <c r="G128" s="3619"/>
      <c r="H128" s="3619"/>
      <c r="I128" s="3619"/>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55</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4198</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C6+C7+C8</f>
        <v>0</v>
      </c>
      <c r="D5" s="210" t="s">
        <v>1468</v>
      </c>
      <c r="E5" s="211" t="s">
        <v>1469</v>
      </c>
      <c r="F5" s="211" t="s">
        <v>1470</v>
      </c>
      <c r="G5" s="212"/>
    </row>
    <row r="6" spans="1:9" s="213" customFormat="1" ht="13.5" customHeight="1">
      <c r="A6" s="777" t="s">
        <v>1471</v>
      </c>
      <c r="B6" s="214" t="s">
        <v>1472</v>
      </c>
      <c r="C6" s="215"/>
      <c r="D6" s="216"/>
      <c r="E6" s="217"/>
      <c r="F6" s="217"/>
      <c r="G6" s="218"/>
    </row>
    <row r="7" spans="1:9" s="213" customFormat="1" ht="13.5" customHeight="1">
      <c r="A7" s="777" t="s">
        <v>1473</v>
      </c>
      <c r="B7" s="214" t="s">
        <v>1474</v>
      </c>
      <c r="C7" s="219">
        <f>ROUND(C6*F7,0)</f>
        <v>0</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3</v>
      </c>
      <c r="D10" s="844">
        <f ca="1">IF(B1="",'数据-汇总表'!E6,IF(INDIRECT("'数据-取费表'!c"&amp;$G$1)="住宅",INDIRECT("'数据-取费表'!s"&amp;$G$1),INDIRECT("'数据-取费表'!k"&amp;$G$1)+INDIRECT("'数据-取费表'!s"&amp;$G$1)))</f>
        <v>131.02000000000001</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f ca="1">IF(G19="已包含在土地取得成本中","0",ROUND(D19*E19/10000,0))</f>
        <v>3</v>
      </c>
      <c r="D19" s="848">
        <f ca="1">D9+D10</f>
        <v>131.02000000000001</v>
      </c>
      <c r="E19" s="210">
        <f>'数据-取费表'!B31</f>
        <v>200</v>
      </c>
      <c r="F19" s="230"/>
      <c r="G19" s="1855"/>
    </row>
    <row r="20" spans="1:7" s="213" customFormat="1" ht="13.5" customHeight="1">
      <c r="A20" s="254" t="s">
        <v>1492</v>
      </c>
      <c r="B20" s="209" t="s">
        <v>1493</v>
      </c>
      <c r="C20" s="231">
        <f ca="1">ROUND((C5+C19)*F20,0)</f>
        <v>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4.75">
      <c r="A27" s="254" t="s">
        <v>1511</v>
      </c>
      <c r="B27" s="243" t="s">
        <v>1512</v>
      </c>
      <c r="C27" s="244">
        <f ca="1">C28</f>
        <v>0</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0</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58</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52</v>
      </c>
      <c r="D34" s="216"/>
      <c r="E34" s="219"/>
      <c r="F34" s="256">
        <f ca="1">IF('数据-取费表'!B24=0,1,IF(B1="",'数据-取费表'!N16,INDIRECT("'数据-取费表'!n"&amp;$G$1)))</f>
        <v>1</v>
      </c>
      <c r="G34" s="218" t="s">
        <v>1525</v>
      </c>
    </row>
    <row r="35" spans="1:7" ht="13.5" customHeight="1">
      <c r="A35" s="779" t="s">
        <v>351</v>
      </c>
      <c r="B35" s="214" t="s">
        <v>1526</v>
      </c>
      <c r="C35" s="219">
        <f ca="1">ROUND(C34*F35,0)</f>
        <v>2</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3</v>
      </c>
      <c r="D37" s="216">
        <f ca="1">D19</f>
        <v>131.02000000000001</v>
      </c>
      <c r="E37" s="248">
        <f>'数据-取费表'!B35</f>
        <v>200</v>
      </c>
      <c r="F37" s="258"/>
      <c r="G37" s="260" t="s">
        <v>1531</v>
      </c>
    </row>
    <row r="38" spans="1:7" ht="13.5" customHeight="1">
      <c r="A38" s="779" t="s">
        <v>354</v>
      </c>
      <c r="B38" s="214" t="s">
        <v>1532</v>
      </c>
      <c r="C38" s="219">
        <f ca="1">ROUND(C34*F38,0)</f>
        <v>1</v>
      </c>
      <c r="D38" s="219"/>
      <c r="E38" s="219"/>
      <c r="F38" s="258">
        <f>'数据-取费表'!B36</f>
        <v>0.02</v>
      </c>
      <c r="G38" s="218" t="s">
        <v>1527</v>
      </c>
    </row>
    <row r="39" spans="1:7" s="213" customFormat="1" ht="13.5" customHeight="1">
      <c r="A39" s="254" t="s">
        <v>1533</v>
      </c>
      <c r="B39" s="209" t="s">
        <v>1534</v>
      </c>
      <c r="C39" s="231">
        <f ca="1">ROUND(C33*F20,0)</f>
        <v>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2</v>
      </c>
      <c r="D42" s="237"/>
      <c r="E42" s="237"/>
      <c r="F42" s="238"/>
      <c r="G42" s="3652" t="s">
        <v>1543</v>
      </c>
    </row>
    <row r="43" spans="1:7" ht="13.5" customHeight="1">
      <c r="A43" s="779" t="s">
        <v>347</v>
      </c>
      <c r="B43" s="214" t="s">
        <v>1544</v>
      </c>
      <c r="C43" s="237">
        <f ca="1">ROUND(IF('数据-取费表'!B22&lt;=1,C39*F22*'数据-取费表'!B21/2,C39*(POWER((1+F22),'数据-取费表'!B21/2)-1)),0)</f>
        <v>0</v>
      </c>
      <c r="D43" s="237"/>
      <c r="E43" s="237"/>
      <c r="F43" s="238"/>
      <c r="G43" s="3653"/>
    </row>
    <row r="44" spans="1:7" ht="13.5" customHeight="1">
      <c r="A44" s="779" t="s">
        <v>348</v>
      </c>
      <c r="B44" s="214" t="s">
        <v>1545</v>
      </c>
      <c r="C44" s="237">
        <f ca="1">ROUND(IF('数据-取费表'!B22&lt;=1,C40*F22*'数据-取费表'!B21/2,C40*(POWER((1+F22),'数据-取费表'!B21/2)-1)),4)</f>
        <v>6.9999999999999999E-4</v>
      </c>
      <c r="D44" s="237"/>
      <c r="E44" s="237"/>
      <c r="F44" s="238"/>
      <c r="G44" s="3654"/>
    </row>
    <row r="45" spans="1:7" s="213" customFormat="1" ht="13.5" customHeight="1">
      <c r="A45" s="254" t="s">
        <v>1546</v>
      </c>
      <c r="B45" s="243" t="s">
        <v>1512</v>
      </c>
      <c r="C45" s="244">
        <f ca="1">C46</f>
        <v>9</v>
      </c>
      <c r="D45" s="234">
        <f ca="1">C47</f>
        <v>3.0000000000000001E-3</v>
      </c>
      <c r="E45" s="235" t="s">
        <v>1538</v>
      </c>
      <c r="F45" s="245">
        <f ca="1">F27</f>
        <v>0.15</v>
      </c>
      <c r="G45" s="246" t="s">
        <v>1547</v>
      </c>
    </row>
    <row r="46" spans="1:7" s="213" customFormat="1" ht="13.5" customHeight="1">
      <c r="A46" s="779" t="s">
        <v>346</v>
      </c>
      <c r="B46" s="247" t="s">
        <v>1548</v>
      </c>
      <c r="C46" s="248">
        <f ca="1">ROUND((C33+C39)*F27,0)</f>
        <v>9</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76</v>
      </c>
      <c r="D49" s="231"/>
      <c r="E49" s="231"/>
      <c r="F49" s="263"/>
      <c r="G49" s="233" t="s">
        <v>1553</v>
      </c>
    </row>
    <row r="50" spans="1:7" s="257" customFormat="1" ht="24">
      <c r="A50" s="254" t="s">
        <v>1554</v>
      </c>
      <c r="B50" s="209" t="s">
        <v>1555</v>
      </c>
      <c r="C50" s="231"/>
      <c r="D50" s="231"/>
      <c r="E50" s="231"/>
      <c r="F50" s="263">
        <f>IF('数据-取费表'!B24=0,'数据-取费表'!N16,1)</f>
        <v>0.68</v>
      </c>
      <c r="G50" s="246" t="s">
        <v>1556</v>
      </c>
    </row>
    <row r="51" spans="1:7" ht="16.5" customHeight="1">
      <c r="A51" s="254" t="s">
        <v>1557</v>
      </c>
      <c r="B51" s="209" t="s">
        <v>1558</v>
      </c>
      <c r="C51" s="231">
        <f ca="1">ROUND(C49*F50,0)</f>
        <v>52</v>
      </c>
      <c r="D51" s="231"/>
      <c r="E51" s="231"/>
      <c r="F51" s="263"/>
      <c r="G51" s="233" t="s">
        <v>1559</v>
      </c>
    </row>
    <row r="52" spans="1:7" s="207" customFormat="1" ht="16.5" thickBot="1">
      <c r="A52" s="264" t="s">
        <v>1560</v>
      </c>
      <c r="B52" s="265"/>
      <c r="C52" s="266">
        <f ca="1">C31+C51</f>
        <v>55</v>
      </c>
      <c r="D52" s="265"/>
      <c r="E52" s="265"/>
      <c r="F52" s="265"/>
      <c r="G52" s="267"/>
    </row>
    <row r="55" spans="1:7" ht="15">
      <c r="B55" s="269" t="s">
        <v>1561</v>
      </c>
      <c r="C55" s="270"/>
    </row>
    <row r="56" spans="1:7">
      <c r="B56" s="272" t="s">
        <v>802</v>
      </c>
      <c r="C56" s="274">
        <f ca="1">1-C57</f>
        <v>5.5000000000000049E-2</v>
      </c>
    </row>
    <row r="57" spans="1:7">
      <c r="B57" s="272" t="s">
        <v>803</v>
      </c>
      <c r="C57" s="273">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北京市东城区灯市口大街33号4层425房地产抵押价值预评估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康正预评字2024-1-0305-P01DYGJ1号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t="s">
        <v>21</v>
      </c>
      <c r="C1" s="1858" t="s">
        <v>1562</v>
      </c>
      <c r="D1" s="197"/>
      <c r="E1" s="197"/>
      <c r="F1" s="197"/>
      <c r="G1" s="1125">
        <f>MATCH(B1,'数据-取费表'!A6:A16,0)+5</f>
        <v>6</v>
      </c>
      <c r="H1" s="1060" t="str">
        <f>IF(ISERROR(FIND("住宅",B1)),"非住宅","住宅")</f>
        <v>非住宅</v>
      </c>
    </row>
    <row r="2" spans="1:8" s="199" customFormat="1" ht="18" customHeight="1">
      <c r="A2" s="200" t="s">
        <v>1461</v>
      </c>
      <c r="B2" s="3420">
        <f ca="1">ROUND(IF(D2="——",C52/10000,C52/10000-E2),4)</f>
        <v>54.844999999999999</v>
      </c>
      <c r="C2" s="198" t="s">
        <v>1462</v>
      </c>
      <c r="D2" s="1852" t="s">
        <v>43</v>
      </c>
      <c r="E2" s="1168">
        <f ca="1">SUMIF(INDIRECT("'"&amp;G2&amp;"'"&amp;"!A:A"),"承租人权益价值",INDIRECT("'"&amp;G2&amp;"'"&amp;"!c:c"))</f>
        <v>0</v>
      </c>
      <c r="F2" s="1853" t="s">
        <v>1462</v>
      </c>
      <c r="G2" s="1854" t="s">
        <v>3500</v>
      </c>
    </row>
    <row r="3" spans="1:8" s="199" customFormat="1" ht="18" customHeight="1" thickBot="1">
      <c r="A3" s="202" t="s">
        <v>1463</v>
      </c>
      <c r="B3" s="203">
        <f ca="1">ROUND(B2*10000/(IF(B1="",'数据-汇总表'!E3,INDIRECT("'数据-取费表'!k"&amp;$G$1))),0)</f>
        <v>4186</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IF(G8="已包含在土地购买价格中",0,C9+C10)</f>
        <v>0</v>
      </c>
      <c r="D8" s="221"/>
      <c r="E8" s="219"/>
      <c r="F8" s="220"/>
      <c r="G8" s="1855" t="s">
        <v>451</v>
      </c>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26204</v>
      </c>
      <c r="D10" s="844">
        <f ca="1">IF(B1="",'数据-汇总表'!E6,IF(INDIRECT("'数据-取费表'!c"&amp;$G$1)="住宅",INDIRECT("'数据-取费表'!s"&amp;$G$1),INDIRECT("'数据-取费表'!k"&amp;$G$1)+INDIRECT("'数据-取费表'!s"&amp;$G$1)))</f>
        <v>131.02000000000001</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26204</v>
      </c>
      <c r="D19" s="848">
        <f ca="1">D9+D10</f>
        <v>131.02000000000001</v>
      </c>
      <c r="E19" s="210">
        <f>'数据-取费表'!B31</f>
        <v>200</v>
      </c>
      <c r="F19" s="230"/>
      <c r="G19" s="1855" t="s">
        <v>436</v>
      </c>
    </row>
    <row r="20" spans="1:7" s="213" customFormat="1" ht="13.5" customHeight="1">
      <c r="A20" s="254" t="s">
        <v>1573</v>
      </c>
      <c r="B20" s="209" t="s">
        <v>1574</v>
      </c>
      <c r="C20" s="231">
        <f ca="1">ROUND((C5+C19)*F20,0)</f>
        <v>524</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1857</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1839</v>
      </c>
      <c r="D24" s="237"/>
      <c r="E24" s="237"/>
      <c r="F24" s="238"/>
      <c r="G24" s="239" t="s">
        <v>1585</v>
      </c>
    </row>
    <row r="25" spans="1:7" s="213" customFormat="1" ht="24">
      <c r="A25" s="779" t="s">
        <v>1475</v>
      </c>
      <c r="B25" s="214" t="s">
        <v>1586</v>
      </c>
      <c r="C25" s="1127">
        <f ca="1">ROUND(IF('数据-取费表'!B22&lt;=1,C20*F22*'数据-取费表'!B22/2,C20*(POWER((1+F22),'数据-取费表'!B22/2)-1)),0)</f>
        <v>18</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4.75">
      <c r="A27" s="254" t="s">
        <v>1511</v>
      </c>
      <c r="B27" s="243" t="s">
        <v>1512</v>
      </c>
      <c r="C27" s="244">
        <f ca="1">C28</f>
        <v>4009</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4009</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35313</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576488</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524080</v>
      </c>
      <c r="D34" s="216"/>
      <c r="E34" s="219"/>
      <c r="F34" s="256"/>
      <c r="G34" s="218"/>
    </row>
    <row r="35" spans="1:7" ht="13.5" customHeight="1">
      <c r="A35" s="779" t="s">
        <v>351</v>
      </c>
      <c r="B35" s="214" t="s">
        <v>1526</v>
      </c>
      <c r="C35" s="219">
        <f ca="1">ROUND(C34*F35,0)</f>
        <v>15722</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26204</v>
      </c>
      <c r="D37" s="216">
        <f ca="1">D19</f>
        <v>131.02000000000001</v>
      </c>
      <c r="E37" s="248">
        <f>'数据-取费表'!B35</f>
        <v>200</v>
      </c>
      <c r="F37" s="258"/>
      <c r="G37" s="260"/>
    </row>
    <row r="38" spans="1:7" ht="13.5" customHeight="1">
      <c r="A38" s="779" t="s">
        <v>354</v>
      </c>
      <c r="B38" s="214" t="s">
        <v>1532</v>
      </c>
      <c r="C38" s="219">
        <f ca="1">ROUND(C34*F38,0)</f>
        <v>10482</v>
      </c>
      <c r="D38" s="219"/>
      <c r="E38" s="219"/>
      <c r="F38" s="258">
        <f>'数据-取费表'!B36</f>
        <v>0.02</v>
      </c>
      <c r="G38" s="218" t="s">
        <v>1527</v>
      </c>
    </row>
    <row r="39" spans="1:7" s="213" customFormat="1" ht="13.5" customHeight="1">
      <c r="A39" s="254" t="s">
        <v>1533</v>
      </c>
      <c r="B39" s="209" t="s">
        <v>1534</v>
      </c>
      <c r="C39" s="231">
        <f ca="1">ROUND(C33*F20,0)</f>
        <v>11530</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20287</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19889</v>
      </c>
      <c r="D42" s="237"/>
      <c r="E42" s="237"/>
      <c r="F42" s="238"/>
      <c r="G42" s="3652" t="s">
        <v>1590</v>
      </c>
    </row>
    <row r="43" spans="1:7" ht="13.5" customHeight="1">
      <c r="A43" s="779" t="s">
        <v>347</v>
      </c>
      <c r="B43" s="214" t="s">
        <v>1544</v>
      </c>
      <c r="C43" s="237">
        <f ca="1">ROUND(IF('数据-取费表'!B22&lt;=1,C39*F22*'数据-取费表'!B20/2,C39*(POWER((1+F22),'数据-取费表'!B20/2)-1)),0)</f>
        <v>398</v>
      </c>
      <c r="D43" s="237"/>
      <c r="E43" s="237"/>
      <c r="F43" s="238"/>
      <c r="G43" s="3653"/>
    </row>
    <row r="44" spans="1:7" ht="13.5" customHeight="1">
      <c r="A44" s="779" t="s">
        <v>348</v>
      </c>
      <c r="B44" s="214" t="s">
        <v>1545</v>
      </c>
      <c r="C44" s="237">
        <f ca="1">ROUND(IF('数据-取费表'!B22&lt;=1,C40*F22*'数据-取费表'!B20/2,C40*(POWER((1+F22),'数据-取费表'!B20/2)-1)),4)</f>
        <v>6.9999999999999999E-4</v>
      </c>
      <c r="D44" s="237"/>
      <c r="E44" s="237"/>
      <c r="F44" s="238"/>
      <c r="G44" s="3654"/>
    </row>
    <row r="45" spans="1:7" s="213" customFormat="1" ht="13.5" customHeight="1">
      <c r="A45" s="254" t="s">
        <v>1546</v>
      </c>
      <c r="B45" s="243" t="s">
        <v>1512</v>
      </c>
      <c r="C45" s="244">
        <f ca="1">C46</f>
        <v>88203</v>
      </c>
      <c r="D45" s="234">
        <f ca="1">C47</f>
        <v>3.0000000000000001E-3</v>
      </c>
      <c r="E45" s="235" t="s">
        <v>1538</v>
      </c>
      <c r="F45" s="245">
        <f ca="1">F27</f>
        <v>0.15</v>
      </c>
      <c r="G45" s="246" t="s">
        <v>1547</v>
      </c>
    </row>
    <row r="46" spans="1:7" s="213" customFormat="1" ht="13.5" customHeight="1">
      <c r="A46" s="779" t="s">
        <v>346</v>
      </c>
      <c r="B46" s="247" t="s">
        <v>1548</v>
      </c>
      <c r="C46" s="248">
        <f ca="1">ROUND((C33+C39)*F27,0)</f>
        <v>88203</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754613</v>
      </c>
      <c r="D49" s="231"/>
      <c r="E49" s="231"/>
      <c r="F49" s="263"/>
      <c r="G49" s="233" t="s">
        <v>1553</v>
      </c>
    </row>
    <row r="50" spans="1:7" s="257" customFormat="1">
      <c r="A50" s="254" t="s">
        <v>1554</v>
      </c>
      <c r="B50" s="209" t="s">
        <v>1555</v>
      </c>
      <c r="C50" s="231"/>
      <c r="D50" s="231"/>
      <c r="E50" s="231"/>
      <c r="F50" s="263">
        <f>IF('数据-取费表'!B24=0,'数据-取费表'!N16,1)</f>
        <v>0.68</v>
      </c>
      <c r="G50" s="246"/>
    </row>
    <row r="51" spans="1:7" ht="16.5" customHeight="1">
      <c r="A51" s="254" t="s">
        <v>1557</v>
      </c>
      <c r="B51" s="209" t="s">
        <v>1592</v>
      </c>
      <c r="C51" s="231">
        <f ca="1">ROUND(C49*F50,0)</f>
        <v>513137</v>
      </c>
      <c r="D51" s="231"/>
      <c r="E51" s="231"/>
      <c r="F51" s="263"/>
      <c r="G51" s="233" t="s">
        <v>1559</v>
      </c>
    </row>
    <row r="52" spans="1:7" s="207" customFormat="1" ht="16.5" thickBot="1">
      <c r="A52" s="264" t="s">
        <v>1560</v>
      </c>
      <c r="B52" s="265"/>
      <c r="C52" s="266">
        <f ca="1">C31+C51</f>
        <v>548450</v>
      </c>
      <c r="D52" s="265"/>
      <c r="E52" s="265"/>
      <c r="F52" s="265"/>
      <c r="G52" s="267"/>
    </row>
    <row r="55" spans="1:7" ht="15">
      <c r="B55" s="269" t="s">
        <v>1561</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2"/>
      <c r="F1" s="2802"/>
      <c r="G1" s="2667"/>
      <c r="H1" s="2802"/>
      <c r="I1" s="2802"/>
      <c r="J1" s="2802"/>
      <c r="K1" s="2803">
        <f>MATCH(C1,'数据-取费表'!A6:A16,0)+5</f>
        <v>7</v>
      </c>
    </row>
    <row r="2" spans="1:33" ht="18" customHeight="1">
      <c r="A2" s="200" t="s">
        <v>1461</v>
      </c>
      <c r="B2" s="203">
        <f ca="1">C32</f>
        <v>-3</v>
      </c>
      <c r="C2" s="275" t="s">
        <v>1594</v>
      </c>
      <c r="D2" s="275"/>
      <c r="E2" s="2802"/>
      <c r="F2" s="2802"/>
      <c r="G2" s="2802"/>
      <c r="H2" s="2802"/>
      <c r="I2" s="2802"/>
      <c r="J2" s="2802"/>
      <c r="K2" s="2802"/>
    </row>
    <row r="3" spans="1:33" ht="18" customHeight="1" thickBot="1">
      <c r="A3" s="202" t="s">
        <v>1463</v>
      </c>
      <c r="B3" s="203">
        <f ca="1">ROUND(B2*10000/IF(C1="",'数据-汇总表'!E3,INDIRECT("'数据-取费表'!K"&amp;$K$1)),0)</f>
        <v>-229</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131.02000000000001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131.02000000000001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3</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3</v>
      </c>
      <c r="D20" s="845">
        <f ca="1">IF(C1="",'数据-汇总表'!E6,IF(INDIRECT("'数据-取费表'!c"&amp;$K$1)="住宅",INDIRECT("'数据-取费表'!s"&amp;$K$1),INDIRECT("'数据-取费表'!k"&amp;$K$1)+INDIRECT("'数据-取费表'!s"&amp;$K$1)))</f>
        <v>131.02000000000001</v>
      </c>
      <c r="E20" s="21">
        <f>'数据-取费表'!B28</f>
        <v>200</v>
      </c>
      <c r="F20" s="803"/>
      <c r="G20" s="12"/>
      <c r="H20" s="808"/>
      <c r="I20" s="808"/>
      <c r="J20" s="808"/>
      <c r="K20" s="809"/>
    </row>
    <row r="21" spans="1:33" s="802" customFormat="1" ht="13.5" customHeight="1">
      <c r="A21" s="789" t="s">
        <v>357</v>
      </c>
      <c r="B21" s="812" t="s">
        <v>1627</v>
      </c>
      <c r="C21" s="813">
        <f ca="1">C16+C17+C18</f>
        <v>3</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0</v>
      </c>
      <c r="D6" s="154" t="s">
        <v>2108</v>
      </c>
      <c r="E6" s="301" t="s">
        <v>696</v>
      </c>
      <c r="F6" s="302">
        <f ca="1">INDIRECT("'数据-取费表'!u"&amp;$G$1)</f>
        <v>0</v>
      </c>
      <c r="G6" s="1383"/>
      <c r="H6" s="1068" t="s">
        <v>398</v>
      </c>
      <c r="I6" s="3657" t="s">
        <v>694</v>
      </c>
      <c r="J6" s="300">
        <f ca="1">ROUND(M6*M8*M7*(1-M9)/10000,0)</f>
        <v>0</v>
      </c>
      <c r="K6" s="154"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IF(项目基本情况!B11="自然人","——",ROUND(C6*F32/(1+'数据-取费表'!C42),2))</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IF(项目基本情况!B11="自然人","——",ROUND(F34*F35/10000,2))</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4">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topLeftCell="A20" zoomScale="85" zoomScaleNormal="70" zoomScaleSheetLayoutView="85"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5.7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t="s">
        <v>21</v>
      </c>
      <c r="E1" s="3429" t="s">
        <v>3406</v>
      </c>
      <c r="F1" s="1878" t="s">
        <v>3463</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385.02850000000001</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29387</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693" t="s">
        <v>1769</v>
      </c>
      <c r="D4" s="3694"/>
      <c r="E4" s="3695" t="s">
        <v>1770</v>
      </c>
      <c r="F4" s="3696"/>
      <c r="G4" s="3693" t="s">
        <v>1771</v>
      </c>
      <c r="H4" s="3694"/>
      <c r="I4" s="3693" t="s">
        <v>1772</v>
      </c>
      <c r="J4" s="3694"/>
      <c r="K4" s="558" t="s">
        <v>1773</v>
      </c>
      <c r="L4" s="2711"/>
      <c r="M4" s="2712"/>
      <c r="N4" s="2712"/>
      <c r="O4" s="2712"/>
      <c r="P4" s="3697" t="s">
        <v>1774</v>
      </c>
      <c r="Q4" s="3698"/>
      <c r="R4" s="3680" t="s">
        <v>1770</v>
      </c>
      <c r="S4" s="3681"/>
      <c r="T4" s="3680" t="s">
        <v>1771</v>
      </c>
      <c r="U4" s="3681"/>
      <c r="V4" s="3678" t="s">
        <v>1772</v>
      </c>
      <c r="W4" s="3678"/>
      <c r="X4" s="3452"/>
      <c r="Y4" s="3680" t="s">
        <v>1774</v>
      </c>
      <c r="Z4" s="3681"/>
      <c r="AA4" s="3686" t="s">
        <v>1770</v>
      </c>
      <c r="AB4" s="3686" t="s">
        <v>1771</v>
      </c>
      <c r="AC4" s="3690" t="s">
        <v>1772</v>
      </c>
    </row>
    <row r="5" spans="1:29" ht="15">
      <c r="A5" s="357"/>
      <c r="B5" s="358"/>
      <c r="C5" s="3703" t="s">
        <v>3408</v>
      </c>
      <c r="D5" s="3704"/>
      <c r="E5" s="3705" t="s">
        <v>3498</v>
      </c>
      <c r="F5" s="3706"/>
      <c r="G5" s="3703" t="s">
        <v>3492</v>
      </c>
      <c r="H5" s="3704"/>
      <c r="I5" s="3703" t="s">
        <v>3464</v>
      </c>
      <c r="J5" s="3704"/>
      <c r="K5" s="558"/>
      <c r="L5" s="2711"/>
      <c r="M5" s="2712"/>
      <c r="N5" s="2712"/>
      <c r="O5" s="2712"/>
      <c r="P5" s="3699"/>
      <c r="Q5" s="3700"/>
      <c r="R5" s="3682"/>
      <c r="S5" s="3683"/>
      <c r="T5" s="3682"/>
      <c r="U5" s="3683"/>
      <c r="V5" s="3679"/>
      <c r="W5" s="3679"/>
      <c r="X5" s="3450"/>
      <c r="Y5" s="3682"/>
      <c r="Z5" s="3683"/>
      <c r="AA5" s="3687"/>
      <c r="AB5" s="3687"/>
      <c r="AC5" s="3691"/>
    </row>
    <row r="6" spans="1:29" ht="15.75" thickBot="1">
      <c r="A6" s="359"/>
      <c r="B6" s="360"/>
      <c r="C6" s="3707" t="s">
        <v>1676</v>
      </c>
      <c r="D6" s="3708"/>
      <c r="E6" s="3709" t="s">
        <v>1676</v>
      </c>
      <c r="F6" s="3710"/>
      <c r="G6" s="3707" t="s">
        <v>1676</v>
      </c>
      <c r="H6" s="3708"/>
      <c r="I6" s="3707" t="s">
        <v>1676</v>
      </c>
      <c r="J6" s="3708"/>
      <c r="K6" s="558" t="s">
        <v>1677</v>
      </c>
      <c r="L6" s="2711"/>
      <c r="M6" s="2712"/>
      <c r="N6" s="2712"/>
      <c r="O6" s="2712"/>
      <c r="P6" s="3701"/>
      <c r="Q6" s="3702"/>
      <c r="R6" s="3682"/>
      <c r="S6" s="3683"/>
      <c r="T6" s="3684"/>
      <c r="U6" s="3685"/>
      <c r="V6" s="3679"/>
      <c r="W6" s="3679"/>
      <c r="X6" s="3450"/>
      <c r="Y6" s="3684"/>
      <c r="Z6" s="3685"/>
      <c r="AA6" s="3688"/>
      <c r="AB6" s="3688"/>
      <c r="AC6" s="3692"/>
    </row>
    <row r="7" spans="1:29" s="108" customFormat="1" ht="15.75" thickBot="1">
      <c r="A7" s="361" t="s">
        <v>1678</v>
      </c>
      <c r="B7" s="362"/>
      <c r="C7" s="363">
        <f>'数据-取费表'!B2</f>
        <v>45407</v>
      </c>
      <c r="D7" s="364">
        <v>100</v>
      </c>
      <c r="E7" s="365">
        <v>45391</v>
      </c>
      <c r="F7" s="366">
        <f>SUMIF(59:59,YEAR(E7)&amp;"-"&amp;MONTH(E7),60:60)</f>
        <v>100</v>
      </c>
      <c r="G7" s="365">
        <v>45285</v>
      </c>
      <c r="H7" s="364">
        <f>SUMIF(59:59,YEAR(G7)&amp;"-"&amp;MONTH(G7),60:60)</f>
        <v>100</v>
      </c>
      <c r="I7" s="365">
        <v>45382</v>
      </c>
      <c r="J7" s="364">
        <f>SUMIF(59:59,YEAR(I7)&amp;"-"&amp;MONTH(I7),60:60)</f>
        <v>100</v>
      </c>
      <c r="K7" s="559"/>
      <c r="L7" s="2713"/>
      <c r="M7" s="2714"/>
      <c r="N7" s="2714"/>
      <c r="O7" s="2714"/>
      <c r="P7" s="3675" t="s">
        <v>1679</v>
      </c>
      <c r="Q7" s="3689"/>
      <c r="R7" s="700" t="s">
        <v>14</v>
      </c>
      <c r="S7" s="701">
        <f t="shared" ref="S7:S15" si="0">F7</f>
        <v>100</v>
      </c>
      <c r="T7" s="700" t="s">
        <v>14</v>
      </c>
      <c r="U7" s="701">
        <f t="shared" ref="U7:U15" si="1">H7</f>
        <v>100</v>
      </c>
      <c r="V7" s="700" t="s">
        <v>14</v>
      </c>
      <c r="W7" s="701">
        <f t="shared" ref="W7:W15" si="2">J7</f>
        <v>100</v>
      </c>
      <c r="X7" s="702"/>
      <c r="Y7" s="3677" t="s">
        <v>1679</v>
      </c>
      <c r="Z7" s="3676"/>
      <c r="AA7" s="703">
        <f>D7/F7</f>
        <v>1</v>
      </c>
      <c r="AB7" s="703">
        <f>D7/H7</f>
        <v>1</v>
      </c>
      <c r="AC7" s="1958">
        <f>D7/J7</f>
        <v>1</v>
      </c>
    </row>
    <row r="8" spans="1:29" s="108" customFormat="1" ht="15.75" thickBot="1">
      <c r="A8" s="361" t="s">
        <v>1680</v>
      </c>
      <c r="B8" s="362"/>
      <c r="C8" s="367" t="s">
        <v>3410</v>
      </c>
      <c r="D8" s="364">
        <v>100</v>
      </c>
      <c r="E8" s="367" t="s">
        <v>3445</v>
      </c>
      <c r="F8" s="366">
        <f>SUMIF(62:62,E8,63:63)-SUMIF(62:62,C8,63:63)+100</f>
        <v>101</v>
      </c>
      <c r="G8" s="367" t="s">
        <v>3445</v>
      </c>
      <c r="H8" s="364">
        <f>SUMIF(62:62,G8,63:63)-SUMIF(62:62,C8,63:63)+100</f>
        <v>101</v>
      </c>
      <c r="I8" s="367" t="s">
        <v>3445</v>
      </c>
      <c r="J8" s="364">
        <f>SUMIF(62:62,I8,63:63)-SUMIF(62:62,C8,63:63)+100</f>
        <v>101</v>
      </c>
      <c r="K8" s="559"/>
      <c r="L8" s="2713"/>
      <c r="M8" s="2714"/>
      <c r="N8" s="2714"/>
      <c r="O8" s="2714"/>
      <c r="P8" s="3675" t="s">
        <v>1682</v>
      </c>
      <c r="Q8" s="3676"/>
      <c r="R8" s="700" t="s">
        <v>14</v>
      </c>
      <c r="S8" s="701">
        <f t="shared" si="0"/>
        <v>101</v>
      </c>
      <c r="T8" s="700" t="s">
        <v>14</v>
      </c>
      <c r="U8" s="701">
        <f t="shared" si="1"/>
        <v>101</v>
      </c>
      <c r="V8" s="700" t="s">
        <v>14</v>
      </c>
      <c r="W8" s="701">
        <f t="shared" si="2"/>
        <v>101</v>
      </c>
      <c r="X8" s="702"/>
      <c r="Y8" s="3677" t="s">
        <v>1682</v>
      </c>
      <c r="Z8" s="3676"/>
      <c r="AA8" s="703">
        <f t="shared" ref="AA8:AA47" si="3">D8/F8</f>
        <v>0.99009900990099009</v>
      </c>
      <c r="AB8" s="703">
        <f t="shared" ref="AB8:AB47" si="4">D8/H8</f>
        <v>0.99009900990099009</v>
      </c>
      <c r="AC8" s="1958">
        <f t="shared" ref="AC8:AC47" si="5">D8/J8</f>
        <v>0.99009900990099009</v>
      </c>
    </row>
    <row r="9" spans="1:29" s="108" customFormat="1">
      <c r="A9" s="368" t="s">
        <v>1683</v>
      </c>
      <c r="B9" s="63" t="s">
        <v>1684</v>
      </c>
      <c r="C9" s="3460" t="s">
        <v>3465</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60" t="s">
        <v>1685</v>
      </c>
      <c r="Q9" s="3446" t="str">
        <f t="shared" ref="Q9:Q15" si="6">B9</f>
        <v>用途</v>
      </c>
      <c r="R9" s="700" t="s">
        <v>14</v>
      </c>
      <c r="S9" s="701">
        <f t="shared" si="0"/>
        <v>100</v>
      </c>
      <c r="T9" s="700" t="s">
        <v>14</v>
      </c>
      <c r="U9" s="701">
        <f t="shared" si="1"/>
        <v>100</v>
      </c>
      <c r="V9" s="700" t="s">
        <v>14</v>
      </c>
      <c r="W9" s="701">
        <f t="shared" si="2"/>
        <v>100</v>
      </c>
      <c r="X9" s="702"/>
      <c r="Y9" s="3559" t="s">
        <v>1686</v>
      </c>
      <c r="Z9" s="3445" t="str">
        <f t="shared" ref="Z9:Z15" si="7">Q9</f>
        <v>用途</v>
      </c>
      <c r="AA9" s="703">
        <f t="shared" si="3"/>
        <v>1</v>
      </c>
      <c r="AB9" s="703">
        <f t="shared" si="4"/>
        <v>1</v>
      </c>
      <c r="AC9" s="1958">
        <f t="shared" si="5"/>
        <v>1</v>
      </c>
    </row>
    <row r="10" spans="1:29" s="377" customFormat="1" ht="27">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0"/>
      <c r="Q10" s="3446" t="str">
        <f t="shared" si="6"/>
        <v>土地使用年限（年）</v>
      </c>
      <c r="R10" s="700" t="s">
        <v>14</v>
      </c>
      <c r="S10" s="701">
        <f t="shared" si="0"/>
        <v>100</v>
      </c>
      <c r="T10" s="700" t="s">
        <v>14</v>
      </c>
      <c r="U10" s="701">
        <f t="shared" si="1"/>
        <v>100</v>
      </c>
      <c r="V10" s="700" t="s">
        <v>14</v>
      </c>
      <c r="W10" s="701">
        <f t="shared" si="2"/>
        <v>100</v>
      </c>
      <c r="X10" s="702"/>
      <c r="Y10" s="3559"/>
      <c r="Z10" s="3445" t="str">
        <f t="shared" si="7"/>
        <v>土地使用年限（年）</v>
      </c>
      <c r="AA10" s="703">
        <f t="shared" si="3"/>
        <v>1</v>
      </c>
      <c r="AB10" s="703">
        <f t="shared" si="4"/>
        <v>1</v>
      </c>
      <c r="AC10" s="1958">
        <f t="shared" si="5"/>
        <v>1</v>
      </c>
    </row>
    <row r="11" spans="1:29" ht="15.75" thickBot="1">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0"/>
      <c r="Q11" s="3446" t="str">
        <f t="shared" si="6"/>
        <v>容积率</v>
      </c>
      <c r="R11" s="700" t="s">
        <v>14</v>
      </c>
      <c r="S11" s="701">
        <f t="shared" si="0"/>
        <v>100</v>
      </c>
      <c r="T11" s="700" t="s">
        <v>14</v>
      </c>
      <c r="U11" s="701">
        <f t="shared" si="1"/>
        <v>100</v>
      </c>
      <c r="V11" s="700" t="s">
        <v>14</v>
      </c>
      <c r="W11" s="701">
        <f t="shared" si="2"/>
        <v>100</v>
      </c>
      <c r="X11" s="702"/>
      <c r="Y11" s="3559"/>
      <c r="Z11" s="3445"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0"/>
      <c r="Q12" s="3446">
        <f t="shared" si="6"/>
        <v>111</v>
      </c>
      <c r="R12" s="700" t="s">
        <v>14</v>
      </c>
      <c r="S12" s="701">
        <f t="shared" si="0"/>
        <v>100</v>
      </c>
      <c r="T12" s="700" t="s">
        <v>14</v>
      </c>
      <c r="U12" s="701">
        <f t="shared" si="1"/>
        <v>100</v>
      </c>
      <c r="V12" s="700" t="s">
        <v>14</v>
      </c>
      <c r="W12" s="701">
        <f t="shared" si="2"/>
        <v>100</v>
      </c>
      <c r="X12" s="702"/>
      <c r="Y12" s="3559"/>
      <c r="Z12" s="3445">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0"/>
      <c r="Q13" s="3446">
        <f t="shared" si="6"/>
        <v>111</v>
      </c>
      <c r="R13" s="700" t="s">
        <v>14</v>
      </c>
      <c r="S13" s="701">
        <f t="shared" si="0"/>
        <v>100</v>
      </c>
      <c r="T13" s="700" t="s">
        <v>14</v>
      </c>
      <c r="U13" s="701">
        <f t="shared" si="1"/>
        <v>100</v>
      </c>
      <c r="V13" s="700" t="s">
        <v>14</v>
      </c>
      <c r="W13" s="701">
        <f t="shared" si="2"/>
        <v>100</v>
      </c>
      <c r="X13" s="702"/>
      <c r="Y13" s="3559"/>
      <c r="Z13" s="3445">
        <f t="shared" si="7"/>
        <v>111</v>
      </c>
      <c r="AA13" s="703">
        <f t="shared" si="3"/>
        <v>1</v>
      </c>
      <c r="AB13" s="703">
        <f t="shared" si="4"/>
        <v>1</v>
      </c>
      <c r="AC13" s="1958">
        <f t="shared" si="5"/>
        <v>1</v>
      </c>
    </row>
    <row r="14" spans="1:29" ht="15.75"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0"/>
      <c r="Q14" s="3446">
        <f t="shared" si="6"/>
        <v>111</v>
      </c>
      <c r="R14" s="700" t="s">
        <v>14</v>
      </c>
      <c r="S14" s="701">
        <f t="shared" si="0"/>
        <v>100</v>
      </c>
      <c r="T14" s="700" t="s">
        <v>14</v>
      </c>
      <c r="U14" s="701">
        <f t="shared" si="1"/>
        <v>100</v>
      </c>
      <c r="V14" s="700" t="s">
        <v>14</v>
      </c>
      <c r="W14" s="701">
        <f t="shared" si="2"/>
        <v>100</v>
      </c>
      <c r="X14" s="702"/>
      <c r="Y14" s="3559"/>
      <c r="Z14" s="3445">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6" t="s">
        <v>1690</v>
      </c>
      <c r="Q15" s="3448" t="str">
        <f t="shared" si="6"/>
        <v>办公集聚程度</v>
      </c>
      <c r="R15" s="704" t="s">
        <v>14</v>
      </c>
      <c r="S15" s="705">
        <f t="shared" si="0"/>
        <v>100</v>
      </c>
      <c r="T15" s="704" t="s">
        <v>14</v>
      </c>
      <c r="U15" s="705">
        <f t="shared" si="1"/>
        <v>100</v>
      </c>
      <c r="V15" s="704" t="s">
        <v>14</v>
      </c>
      <c r="W15" s="705">
        <f t="shared" si="2"/>
        <v>100</v>
      </c>
      <c r="X15" s="3450"/>
      <c r="Y15" s="3668" t="s">
        <v>1690</v>
      </c>
      <c r="Z15" s="3451" t="str">
        <f t="shared" si="7"/>
        <v>办公集聚程度</v>
      </c>
      <c r="AA15" s="3449">
        <f t="shared" si="3"/>
        <v>1</v>
      </c>
      <c r="AB15" s="3449">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67"/>
      <c r="Q16" s="3448"/>
      <c r="R16" s="704"/>
      <c r="S16" s="705"/>
      <c r="T16" s="704"/>
      <c r="U16" s="705"/>
      <c r="V16" s="704"/>
      <c r="W16" s="705"/>
      <c r="X16" s="3450"/>
      <c r="Y16" s="3669"/>
      <c r="Z16" s="3451"/>
      <c r="AA16" s="3449">
        <v>1</v>
      </c>
      <c r="AB16" s="3449">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7"/>
      <c r="Q17" s="3448" t="str">
        <f>B17</f>
        <v>交通便捷度</v>
      </c>
      <c r="R17" s="704" t="s">
        <v>14</v>
      </c>
      <c r="S17" s="705">
        <f>F17</f>
        <v>100</v>
      </c>
      <c r="T17" s="704" t="s">
        <v>14</v>
      </c>
      <c r="U17" s="705">
        <f>H17</f>
        <v>100</v>
      </c>
      <c r="V17" s="704" t="s">
        <v>14</v>
      </c>
      <c r="W17" s="705">
        <f>J17</f>
        <v>100</v>
      </c>
      <c r="X17" s="3450"/>
      <c r="Y17" s="3669"/>
      <c r="Z17" s="3451" t="str">
        <f>Q17</f>
        <v>交通便捷度</v>
      </c>
      <c r="AA17" s="3449">
        <f t="shared" si="3"/>
        <v>1</v>
      </c>
      <c r="AB17" s="3449">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67"/>
      <c r="Q18" s="3448"/>
      <c r="R18" s="704"/>
      <c r="S18" s="705"/>
      <c r="T18" s="704"/>
      <c r="U18" s="705"/>
      <c r="V18" s="704"/>
      <c r="W18" s="705"/>
      <c r="X18" s="3450"/>
      <c r="Y18" s="3669"/>
      <c r="Z18" s="3451"/>
      <c r="AA18" s="3449">
        <v>1</v>
      </c>
      <c r="AB18" s="3449">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7"/>
      <c r="Q19" s="3448" t="str">
        <f>B19</f>
        <v>公共配套设施</v>
      </c>
      <c r="R19" s="704" t="s">
        <v>14</v>
      </c>
      <c r="S19" s="705">
        <f>F19</f>
        <v>100</v>
      </c>
      <c r="T19" s="704" t="s">
        <v>14</v>
      </c>
      <c r="U19" s="705">
        <f>H19</f>
        <v>100</v>
      </c>
      <c r="V19" s="704" t="s">
        <v>14</v>
      </c>
      <c r="W19" s="705">
        <f>J19</f>
        <v>100</v>
      </c>
      <c r="X19" s="3450"/>
      <c r="Y19" s="3669"/>
      <c r="Z19" s="3451" t="str">
        <f>Q19</f>
        <v>公共配套设施</v>
      </c>
      <c r="AA19" s="3449">
        <f t="shared" si="3"/>
        <v>1</v>
      </c>
      <c r="AB19" s="3449">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67"/>
      <c r="Q20" s="3448"/>
      <c r="R20" s="704"/>
      <c r="S20" s="705"/>
      <c r="T20" s="704"/>
      <c r="U20" s="705"/>
      <c r="V20" s="704"/>
      <c r="W20" s="705"/>
      <c r="X20" s="3450"/>
      <c r="Y20" s="3669"/>
      <c r="Z20" s="3451"/>
      <c r="AA20" s="3449">
        <v>1</v>
      </c>
      <c r="AB20" s="3449">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7"/>
      <c r="Q21" s="3448" t="str">
        <f>B21</f>
        <v>基础设施水平</v>
      </c>
      <c r="R21" s="704" t="s">
        <v>14</v>
      </c>
      <c r="S21" s="705">
        <f>F21</f>
        <v>100</v>
      </c>
      <c r="T21" s="704" t="s">
        <v>14</v>
      </c>
      <c r="U21" s="705">
        <f>H21</f>
        <v>100</v>
      </c>
      <c r="V21" s="704" t="s">
        <v>14</v>
      </c>
      <c r="W21" s="705">
        <f>J21</f>
        <v>100</v>
      </c>
      <c r="X21" s="3450"/>
      <c r="Y21" s="3669"/>
      <c r="Z21" s="3451" t="str">
        <f>Q21</f>
        <v>基础设施水平</v>
      </c>
      <c r="AA21" s="3449">
        <f t="shared" ref="AA21" si="8">D21/F21</f>
        <v>1</v>
      </c>
      <c r="AB21" s="3449">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67"/>
      <c r="Q22" s="3448"/>
      <c r="R22" s="704"/>
      <c r="S22" s="705"/>
      <c r="T22" s="704"/>
      <c r="U22" s="705"/>
      <c r="V22" s="704"/>
      <c r="W22" s="705"/>
      <c r="X22" s="3450"/>
      <c r="Y22" s="3669"/>
      <c r="Z22" s="3451"/>
      <c r="AA22" s="3449">
        <v>1</v>
      </c>
      <c r="AB22" s="3449">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7"/>
      <c r="Q23" s="3448" t="str">
        <f>B23</f>
        <v>环境质量</v>
      </c>
      <c r="R23" s="704" t="s">
        <v>14</v>
      </c>
      <c r="S23" s="705">
        <f>F23</f>
        <v>100</v>
      </c>
      <c r="T23" s="704" t="s">
        <v>14</v>
      </c>
      <c r="U23" s="705">
        <f>H23</f>
        <v>100</v>
      </c>
      <c r="V23" s="704" t="s">
        <v>14</v>
      </c>
      <c r="W23" s="705">
        <f>J23</f>
        <v>100</v>
      </c>
      <c r="X23" s="3450"/>
      <c r="Y23" s="3669"/>
      <c r="Z23" s="3451" t="str">
        <f>Q23</f>
        <v>环境质量</v>
      </c>
      <c r="AA23" s="3449">
        <f t="shared" si="3"/>
        <v>1</v>
      </c>
      <c r="AB23" s="3449">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67"/>
      <c r="Q24" s="3448"/>
      <c r="R24" s="704"/>
      <c r="S24" s="705"/>
      <c r="T24" s="704"/>
      <c r="U24" s="705"/>
      <c r="V24" s="704"/>
      <c r="W24" s="705"/>
      <c r="X24" s="3450"/>
      <c r="Y24" s="3669"/>
      <c r="Z24" s="3451"/>
      <c r="AA24" s="3449">
        <v>1</v>
      </c>
      <c r="AB24" s="3449">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102</v>
      </c>
      <c r="K25" s="562">
        <v>1</v>
      </c>
      <c r="L25" s="2718"/>
      <c r="M25" s="2712"/>
      <c r="N25" s="2712"/>
      <c r="O25" s="2712"/>
      <c r="P25" s="3667"/>
      <c r="Q25" s="3448" t="str">
        <f>B25</f>
        <v>毗邻道路的类型与等级</v>
      </c>
      <c r="R25" s="704" t="s">
        <v>14</v>
      </c>
      <c r="S25" s="705">
        <f>F25</f>
        <v>100</v>
      </c>
      <c r="T25" s="704" t="s">
        <v>14</v>
      </c>
      <c r="U25" s="705">
        <f>H25</f>
        <v>100</v>
      </c>
      <c r="V25" s="704" t="s">
        <v>14</v>
      </c>
      <c r="W25" s="705">
        <f>J25</f>
        <v>102</v>
      </c>
      <c r="X25" s="3450"/>
      <c r="Y25" s="3669"/>
      <c r="Z25" s="3451" t="str">
        <f>Q25</f>
        <v>毗邻道路的类型与等级</v>
      </c>
      <c r="AA25" s="3449">
        <f t="shared" si="3"/>
        <v>1</v>
      </c>
      <c r="AB25" s="3449">
        <f t="shared" si="4"/>
        <v>1</v>
      </c>
      <c r="AC25" s="1961">
        <f t="shared" si="5"/>
        <v>0.98039215686274506</v>
      </c>
    </row>
    <row r="26" spans="1:29" ht="15">
      <c r="A26" s="357"/>
      <c r="B26" s="579"/>
      <c r="C26" s="581" t="s">
        <v>3438</v>
      </c>
      <c r="D26" s="385"/>
      <c r="E26" s="564" t="s">
        <v>3438</v>
      </c>
      <c r="F26" s="385"/>
      <c r="G26" s="581" t="s">
        <v>3438</v>
      </c>
      <c r="H26" s="385"/>
      <c r="I26" s="564" t="s">
        <v>3467</v>
      </c>
      <c r="J26" s="385"/>
      <c r="K26" s="563"/>
      <c r="L26" s="2718"/>
      <c r="M26" s="2712"/>
      <c r="N26" s="2712"/>
      <c r="O26" s="2712"/>
      <c r="P26" s="3667"/>
      <c r="Q26" s="3448"/>
      <c r="R26" s="704"/>
      <c r="S26" s="705"/>
      <c r="T26" s="704"/>
      <c r="U26" s="705"/>
      <c r="V26" s="704"/>
      <c r="W26" s="705"/>
      <c r="X26" s="3450"/>
      <c r="Y26" s="3669"/>
      <c r="Z26" s="3451"/>
      <c r="AA26" s="3449">
        <v>1</v>
      </c>
      <c r="AB26" s="3449">
        <v>1</v>
      </c>
      <c r="AC26" s="1961">
        <v>1</v>
      </c>
    </row>
    <row r="27" spans="1:29" ht="15">
      <c r="A27" s="378"/>
      <c r="B27" s="579" t="s">
        <v>1782</v>
      </c>
      <c r="C27" s="581" t="s">
        <v>3440</v>
      </c>
      <c r="D27" s="385">
        <v>100</v>
      </c>
      <c r="E27" s="564" t="s">
        <v>3439</v>
      </c>
      <c r="F27" s="385">
        <f>SUMIF(89:89,E27,90:90)-SUMIF(89:89,C27,90:90)+100</f>
        <v>102</v>
      </c>
      <c r="G27" s="581" t="s">
        <v>3439</v>
      </c>
      <c r="H27" s="385">
        <f>SUMIF(89:89,G27,90:90)-SUMIF(89:89,C27,90:90)+100</f>
        <v>102</v>
      </c>
      <c r="I27" s="564" t="s">
        <v>3439</v>
      </c>
      <c r="J27" s="385">
        <f>SUMIF(89:89,I27,90:90)-SUMIF(89:89,C27,90:90)+100</f>
        <v>102</v>
      </c>
      <c r="K27" s="560">
        <v>2</v>
      </c>
      <c r="L27" s="2718"/>
      <c r="M27" s="2712"/>
      <c r="N27" s="2712"/>
      <c r="O27" s="2712"/>
      <c r="P27" s="3667"/>
      <c r="Q27" s="3448" t="str">
        <f t="shared" ref="Q27:Q47" si="11">B27</f>
        <v>楼层</v>
      </c>
      <c r="R27" s="704" t="s">
        <v>14</v>
      </c>
      <c r="S27" s="705">
        <f>F27</f>
        <v>102</v>
      </c>
      <c r="T27" s="704" t="s">
        <v>14</v>
      </c>
      <c r="U27" s="705">
        <f>H27</f>
        <v>102</v>
      </c>
      <c r="V27" s="704" t="s">
        <v>14</v>
      </c>
      <c r="W27" s="705">
        <f>J27</f>
        <v>102</v>
      </c>
      <c r="X27" s="3450"/>
      <c r="Y27" s="3669"/>
      <c r="Z27" s="3451" t="str">
        <f>Q27</f>
        <v>楼层</v>
      </c>
      <c r="AA27" s="3449">
        <f t="shared" si="3"/>
        <v>0.98039215686274506</v>
      </c>
      <c r="AB27" s="3449">
        <f t="shared" si="4"/>
        <v>0.98039215686274506</v>
      </c>
      <c r="AC27" s="1961">
        <f t="shared" si="5"/>
        <v>0.98039215686274506</v>
      </c>
    </row>
    <row r="28" spans="1:29" s="108" customFormat="1" ht="15.75"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7"/>
      <c r="Q28" s="3446" t="str">
        <f t="shared" si="11"/>
        <v>朝向</v>
      </c>
      <c r="R28" s="700" t="s">
        <v>14</v>
      </c>
      <c r="S28" s="701">
        <f>F28</f>
        <v>100</v>
      </c>
      <c r="T28" s="700" t="s">
        <v>14</v>
      </c>
      <c r="U28" s="701">
        <f>H28</f>
        <v>100</v>
      </c>
      <c r="V28" s="700" t="s">
        <v>14</v>
      </c>
      <c r="W28" s="701">
        <f>J28</f>
        <v>100</v>
      </c>
      <c r="X28" s="702"/>
      <c r="Y28" s="3669"/>
      <c r="Z28" s="3445" t="str">
        <f>Q28</f>
        <v>朝向</v>
      </c>
      <c r="AA28" s="3449">
        <f>D28/F28</f>
        <v>1</v>
      </c>
      <c r="AB28" s="3449">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7"/>
      <c r="Q29" s="3448">
        <f t="shared" si="11"/>
        <v>111</v>
      </c>
      <c r="R29" s="704" t="s">
        <v>14</v>
      </c>
      <c r="S29" s="705">
        <f t="shared" ref="S29:S47" si="12">F29</f>
        <v>100</v>
      </c>
      <c r="T29" s="704" t="s">
        <v>14</v>
      </c>
      <c r="U29" s="705">
        <f t="shared" ref="U29:U47" si="13">H29</f>
        <v>100</v>
      </c>
      <c r="V29" s="704" t="s">
        <v>14</v>
      </c>
      <c r="W29" s="705">
        <f t="shared" ref="W29:W47" si="14">J29</f>
        <v>100</v>
      </c>
      <c r="X29" s="3450"/>
      <c r="Y29" s="3669"/>
      <c r="Z29" s="3451">
        <f t="shared" ref="Z29:Z47" si="15">Q29</f>
        <v>111</v>
      </c>
      <c r="AA29" s="3449">
        <f t="shared" si="3"/>
        <v>1</v>
      </c>
      <c r="AB29" s="3449">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7"/>
      <c r="Q30" s="3448">
        <f t="shared" si="11"/>
        <v>111</v>
      </c>
      <c r="R30" s="704" t="s">
        <v>14</v>
      </c>
      <c r="S30" s="705">
        <f t="shared" si="12"/>
        <v>100</v>
      </c>
      <c r="T30" s="704" t="s">
        <v>14</v>
      </c>
      <c r="U30" s="705">
        <f t="shared" si="13"/>
        <v>100</v>
      </c>
      <c r="V30" s="704" t="s">
        <v>14</v>
      </c>
      <c r="W30" s="705">
        <f t="shared" si="14"/>
        <v>100</v>
      </c>
      <c r="X30" s="3450"/>
      <c r="Y30" s="3669"/>
      <c r="Z30" s="3451">
        <f t="shared" si="15"/>
        <v>111</v>
      </c>
      <c r="AA30" s="3449">
        <f t="shared" si="3"/>
        <v>1</v>
      </c>
      <c r="AB30" s="3449">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7"/>
      <c r="Q31" s="3448">
        <f t="shared" si="11"/>
        <v>111</v>
      </c>
      <c r="R31" s="704" t="s">
        <v>14</v>
      </c>
      <c r="S31" s="705">
        <f t="shared" si="12"/>
        <v>100</v>
      </c>
      <c r="T31" s="704" t="s">
        <v>14</v>
      </c>
      <c r="U31" s="705">
        <f t="shared" si="13"/>
        <v>100</v>
      </c>
      <c r="V31" s="704" t="s">
        <v>14</v>
      </c>
      <c r="W31" s="705">
        <f t="shared" si="14"/>
        <v>100</v>
      </c>
      <c r="X31" s="3450"/>
      <c r="Y31" s="3669"/>
      <c r="Z31" s="3451">
        <f t="shared" si="15"/>
        <v>111</v>
      </c>
      <c r="AA31" s="3449">
        <f t="shared" si="3"/>
        <v>1</v>
      </c>
      <c r="AB31" s="3449">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7"/>
      <c r="Q32" s="3448">
        <f t="shared" si="11"/>
        <v>111</v>
      </c>
      <c r="R32" s="704" t="s">
        <v>14</v>
      </c>
      <c r="S32" s="705">
        <f t="shared" si="12"/>
        <v>100</v>
      </c>
      <c r="T32" s="704" t="s">
        <v>14</v>
      </c>
      <c r="U32" s="705">
        <f t="shared" si="13"/>
        <v>100</v>
      </c>
      <c r="V32" s="704" t="s">
        <v>14</v>
      </c>
      <c r="W32" s="705">
        <f t="shared" si="14"/>
        <v>100</v>
      </c>
      <c r="X32" s="3450"/>
      <c r="Y32" s="3669"/>
      <c r="Z32" s="3451">
        <f t="shared" si="15"/>
        <v>111</v>
      </c>
      <c r="AA32" s="3449">
        <f t="shared" si="3"/>
        <v>1</v>
      </c>
      <c r="AB32" s="3449">
        <f t="shared" si="4"/>
        <v>1</v>
      </c>
      <c r="AC32" s="1961">
        <f t="shared" si="5"/>
        <v>1</v>
      </c>
    </row>
    <row r="33" spans="1:29" ht="15">
      <c r="A33" s="390" t="s">
        <v>1693</v>
      </c>
      <c r="B33" s="63" t="s">
        <v>1816</v>
      </c>
      <c r="C33" s="1966" t="s">
        <v>3475</v>
      </c>
      <c r="D33" s="417">
        <v>100</v>
      </c>
      <c r="E33" s="1966" t="s">
        <v>3475</v>
      </c>
      <c r="F33" s="411">
        <f>SUMIF(101:101,E33,102:102)-SUMIF(101:101,C33,102:102)+100</f>
        <v>100</v>
      </c>
      <c r="G33" s="1966" t="s">
        <v>3475</v>
      </c>
      <c r="H33" s="385">
        <f>SUMIF(101:101,G33,102:102)-SUMIF(101:101,C33,102:102)+100</f>
        <v>100</v>
      </c>
      <c r="I33" s="1966" t="s">
        <v>3475</v>
      </c>
      <c r="J33" s="417">
        <f>SUMIF(101:101,I33,102:102)-SUMIF(101:101,C33,102:102)+100</f>
        <v>100</v>
      </c>
      <c r="K33" s="560"/>
      <c r="L33" s="2718"/>
      <c r="M33" s="2712"/>
      <c r="N33" s="2712"/>
      <c r="O33" s="2712"/>
      <c r="P33" s="3670" t="s">
        <v>1695</v>
      </c>
      <c r="Q33" s="3448" t="str">
        <f t="shared" si="11"/>
        <v>建筑类型</v>
      </c>
      <c r="R33" s="704" t="s">
        <v>14</v>
      </c>
      <c r="S33" s="705">
        <f t="shared" si="12"/>
        <v>100</v>
      </c>
      <c r="T33" s="704" t="s">
        <v>14</v>
      </c>
      <c r="U33" s="705">
        <f t="shared" si="13"/>
        <v>100</v>
      </c>
      <c r="V33" s="704" t="s">
        <v>14</v>
      </c>
      <c r="W33" s="705">
        <f t="shared" si="14"/>
        <v>100</v>
      </c>
      <c r="X33" s="3450"/>
      <c r="Y33" s="3673" t="s">
        <v>1695</v>
      </c>
      <c r="Z33" s="3451" t="str">
        <f t="shared" si="15"/>
        <v>建筑类型</v>
      </c>
      <c r="AA33" s="3449">
        <f t="shared" si="3"/>
        <v>1</v>
      </c>
      <c r="AB33" s="3449">
        <f t="shared" si="4"/>
        <v>1</v>
      </c>
      <c r="AC33" s="1961">
        <f t="shared" si="5"/>
        <v>1</v>
      </c>
    </row>
    <row r="34" spans="1:29" s="421" customFormat="1" ht="15">
      <c r="A34" s="418"/>
      <c r="B34" s="374" t="s">
        <v>1696</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3449">
        <f t="shared" si="3"/>
        <v>1</v>
      </c>
      <c r="AB34" s="3449">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671"/>
      <c r="Q35" s="3448" t="str">
        <f t="shared" si="11"/>
        <v>建筑结构</v>
      </c>
      <c r="R35" s="704" t="s">
        <v>14</v>
      </c>
      <c r="S35" s="705">
        <f t="shared" si="12"/>
        <v>100</v>
      </c>
      <c r="T35" s="704" t="s">
        <v>14</v>
      </c>
      <c r="U35" s="705">
        <f t="shared" si="13"/>
        <v>100</v>
      </c>
      <c r="V35" s="704" t="s">
        <v>14</v>
      </c>
      <c r="W35" s="705">
        <f t="shared" si="14"/>
        <v>100</v>
      </c>
      <c r="X35" s="3450"/>
      <c r="Y35" s="3673"/>
      <c r="Z35" s="3451" t="str">
        <f t="shared" si="15"/>
        <v>建筑结构</v>
      </c>
      <c r="AA35" s="3449">
        <f t="shared" si="3"/>
        <v>1</v>
      </c>
      <c r="AB35" s="3449">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671"/>
      <c r="Q36" s="3448" t="str">
        <f t="shared" si="11"/>
        <v>公共部分装修</v>
      </c>
      <c r="R36" s="704" t="s">
        <v>14</v>
      </c>
      <c r="S36" s="705">
        <f t="shared" si="12"/>
        <v>100</v>
      </c>
      <c r="T36" s="704" t="s">
        <v>14</v>
      </c>
      <c r="U36" s="705">
        <f t="shared" si="13"/>
        <v>100</v>
      </c>
      <c r="V36" s="704" t="s">
        <v>14</v>
      </c>
      <c r="W36" s="705">
        <f t="shared" si="14"/>
        <v>100</v>
      </c>
      <c r="X36" s="3450"/>
      <c r="Y36" s="3673"/>
      <c r="Z36" s="3451" t="str">
        <f t="shared" si="15"/>
        <v>公共部分装修</v>
      </c>
      <c r="AA36" s="3449">
        <f t="shared" si="3"/>
        <v>1</v>
      </c>
      <c r="AB36" s="3449">
        <f t="shared" si="4"/>
        <v>1</v>
      </c>
      <c r="AC36" s="1961">
        <f t="shared" si="5"/>
        <v>1</v>
      </c>
    </row>
    <row r="37" spans="1:29" ht="15">
      <c r="A37" s="422"/>
      <c r="B37" s="374" t="s">
        <v>1785</v>
      </c>
      <c r="C37" s="424">
        <f>'数据-取费表'!N6</f>
        <v>0.68</v>
      </c>
      <c r="D37" s="385">
        <v>100</v>
      </c>
      <c r="E37" s="424">
        <v>0.64</v>
      </c>
      <c r="F37" s="411">
        <f>LOOKUP(E37,111:111,112:112)-LOOKUP(C37,111:111,112:112)+100</f>
        <v>100</v>
      </c>
      <c r="G37" s="424">
        <f>C37</f>
        <v>0.68</v>
      </c>
      <c r="H37" s="411">
        <f>LOOKUP(G37,111:111,112:112)-LOOKUP(C37,111:111,112:112)+100</f>
        <v>100</v>
      </c>
      <c r="I37" s="424">
        <v>0.64</v>
      </c>
      <c r="J37" s="385">
        <f>LOOKUP(I37,111:111,112:112)-LOOKUP(C37,111:111,112:112)+100</f>
        <v>100</v>
      </c>
      <c r="K37" s="560">
        <v>1</v>
      </c>
      <c r="L37" s="2718"/>
      <c r="M37" s="2712"/>
      <c r="N37" s="2712"/>
      <c r="O37" s="2712"/>
      <c r="P37" s="3671"/>
      <c r="Q37" s="3448" t="str">
        <f t="shared" si="11"/>
        <v>成新度</v>
      </c>
      <c r="R37" s="704" t="s">
        <v>14</v>
      </c>
      <c r="S37" s="705">
        <f t="shared" si="12"/>
        <v>100</v>
      </c>
      <c r="T37" s="704" t="s">
        <v>14</v>
      </c>
      <c r="U37" s="705">
        <f t="shared" si="13"/>
        <v>100</v>
      </c>
      <c r="V37" s="704" t="s">
        <v>14</v>
      </c>
      <c r="W37" s="705">
        <f t="shared" si="14"/>
        <v>100</v>
      </c>
      <c r="X37" s="3450"/>
      <c r="Y37" s="3673"/>
      <c r="Z37" s="3451" t="str">
        <f t="shared" si="15"/>
        <v>成新度</v>
      </c>
      <c r="AA37" s="3449">
        <f t="shared" si="3"/>
        <v>1</v>
      </c>
      <c r="AB37" s="3449">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671"/>
      <c r="Q38" s="3446" t="str">
        <f t="shared" si="11"/>
        <v>写字楼等级</v>
      </c>
      <c r="R38" s="700" t="s">
        <v>14</v>
      </c>
      <c r="S38" s="701">
        <f t="shared" si="12"/>
        <v>100</v>
      </c>
      <c r="T38" s="700" t="s">
        <v>14</v>
      </c>
      <c r="U38" s="701">
        <f t="shared" si="13"/>
        <v>100</v>
      </c>
      <c r="V38" s="700" t="s">
        <v>14</v>
      </c>
      <c r="W38" s="701">
        <f t="shared" si="14"/>
        <v>100</v>
      </c>
      <c r="X38" s="702"/>
      <c r="Y38" s="3673"/>
      <c r="Z38" s="3445"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671" t="s">
        <v>1695</v>
      </c>
      <c r="Q39" s="3448" t="str">
        <f t="shared" si="11"/>
        <v>物业管理</v>
      </c>
      <c r="R39" s="704" t="s">
        <v>14</v>
      </c>
      <c r="S39" s="705">
        <f t="shared" si="12"/>
        <v>100</v>
      </c>
      <c r="T39" s="704" t="s">
        <v>14</v>
      </c>
      <c r="U39" s="705">
        <f t="shared" si="13"/>
        <v>100</v>
      </c>
      <c r="V39" s="704" t="s">
        <v>14</v>
      </c>
      <c r="W39" s="705">
        <f t="shared" si="14"/>
        <v>100</v>
      </c>
      <c r="X39" s="3450"/>
      <c r="Y39" s="3673" t="s">
        <v>1695</v>
      </c>
      <c r="Z39" s="3451" t="str">
        <f t="shared" si="15"/>
        <v>物业管理</v>
      </c>
      <c r="AA39" s="3449">
        <f t="shared" si="3"/>
        <v>1</v>
      </c>
      <c r="AB39" s="3449">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671"/>
      <c r="Q40" s="3448" t="str">
        <f t="shared" si="11"/>
        <v>市政基础设施</v>
      </c>
      <c r="R40" s="704" t="s">
        <v>14</v>
      </c>
      <c r="S40" s="705">
        <f t="shared" si="12"/>
        <v>100</v>
      </c>
      <c r="T40" s="704" t="s">
        <v>14</v>
      </c>
      <c r="U40" s="705">
        <f t="shared" si="13"/>
        <v>100</v>
      </c>
      <c r="V40" s="704" t="s">
        <v>14</v>
      </c>
      <c r="W40" s="705">
        <f t="shared" si="14"/>
        <v>100</v>
      </c>
      <c r="X40" s="3450"/>
      <c r="Y40" s="3673"/>
      <c r="Z40" s="3451" t="str">
        <f t="shared" si="15"/>
        <v>市政基础设施</v>
      </c>
      <c r="AA40" s="3449">
        <f t="shared" si="3"/>
        <v>1</v>
      </c>
      <c r="AB40" s="3449">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671"/>
      <c r="Q41" s="3448" t="str">
        <f t="shared" si="11"/>
        <v>层高</v>
      </c>
      <c r="R41" s="704" t="s">
        <v>14</v>
      </c>
      <c r="S41" s="705">
        <f t="shared" si="12"/>
        <v>100</v>
      </c>
      <c r="T41" s="704" t="s">
        <v>14</v>
      </c>
      <c r="U41" s="705">
        <f t="shared" si="13"/>
        <v>100</v>
      </c>
      <c r="V41" s="704" t="s">
        <v>14</v>
      </c>
      <c r="W41" s="705">
        <f t="shared" si="14"/>
        <v>100</v>
      </c>
      <c r="X41" s="3450"/>
      <c r="Y41" s="3673"/>
      <c r="Z41" s="3451" t="str">
        <f t="shared" si="15"/>
        <v>层高</v>
      </c>
      <c r="AA41" s="3449">
        <f t="shared" si="3"/>
        <v>1</v>
      </c>
      <c r="AB41" s="3449">
        <f t="shared" si="4"/>
        <v>1</v>
      </c>
      <c r="AC41" s="1961">
        <f t="shared" si="5"/>
        <v>1</v>
      </c>
    </row>
    <row r="42" spans="1:29" s="421" customFormat="1" ht="15">
      <c r="A42" s="418"/>
      <c r="B42" s="3447" t="s">
        <v>1819</v>
      </c>
      <c r="C42" s="384">
        <v>131.02000000000001</v>
      </c>
      <c r="D42" s="385">
        <v>100</v>
      </c>
      <c r="E42" s="384">
        <v>71.569999999999993</v>
      </c>
      <c r="F42" s="411">
        <f>SUMIF(121:121,E42,122:122)-SUMIF(121:121,C42,122:122)+100</f>
        <v>100</v>
      </c>
      <c r="G42" s="384">
        <v>77.8</v>
      </c>
      <c r="H42" s="385">
        <f>SUMIF(121:121,G42,122:122)-SUMIF(121:121,C42,122:122)+100</f>
        <v>100</v>
      </c>
      <c r="I42" s="384">
        <v>133</v>
      </c>
      <c r="J42" s="385">
        <f>SUMIF(121:121,I42,122:122)-SUMIF(121:121,C42,122:122)+100</f>
        <v>100</v>
      </c>
      <c r="K42" s="561"/>
      <c r="L42" s="2717"/>
      <c r="M42" s="2719"/>
      <c r="N42" s="2719"/>
      <c r="O42" s="2719"/>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3449">
        <f t="shared" si="3"/>
        <v>1</v>
      </c>
      <c r="AB42" s="3449">
        <f t="shared" si="4"/>
        <v>1</v>
      </c>
      <c r="AC42" s="1961">
        <f t="shared" si="5"/>
        <v>1</v>
      </c>
    </row>
    <row r="43" spans="1:29" ht="15">
      <c r="A43" s="422"/>
      <c r="B43" s="374" t="s">
        <v>1791</v>
      </c>
      <c r="C43" s="410" t="s">
        <v>3501</v>
      </c>
      <c r="D43" s="385">
        <v>100</v>
      </c>
      <c r="E43" s="410" t="s">
        <v>3442</v>
      </c>
      <c r="F43" s="411">
        <f>SUMIF(123:123,E43,124:124)-SUMIF(123:123,C43,124:124)+100</f>
        <v>102</v>
      </c>
      <c r="G43" s="410" t="s">
        <v>3499</v>
      </c>
      <c r="H43" s="385">
        <f>SUMIF(123:123,G43,124:124)-SUMIF(123:123,C43,124:124)+100</f>
        <v>98</v>
      </c>
      <c r="I43" s="410" t="s">
        <v>3442</v>
      </c>
      <c r="J43" s="385">
        <f>SUMIF(123:123,I43,124:124)-SUMIF(123:123,C43,124:124)+100</f>
        <v>102</v>
      </c>
      <c r="K43" s="560">
        <v>2</v>
      </c>
      <c r="L43" s="2718"/>
      <c r="M43" s="2712"/>
      <c r="N43" s="2712"/>
      <c r="O43" s="2712"/>
      <c r="P43" s="3671"/>
      <c r="Q43" s="3448" t="str">
        <f t="shared" si="11"/>
        <v>内部装修</v>
      </c>
      <c r="R43" s="704" t="s">
        <v>14</v>
      </c>
      <c r="S43" s="705">
        <f t="shared" si="12"/>
        <v>102</v>
      </c>
      <c r="T43" s="704" t="s">
        <v>14</v>
      </c>
      <c r="U43" s="705">
        <f t="shared" si="13"/>
        <v>98</v>
      </c>
      <c r="V43" s="704" t="s">
        <v>14</v>
      </c>
      <c r="W43" s="705">
        <f t="shared" si="14"/>
        <v>102</v>
      </c>
      <c r="X43" s="3450"/>
      <c r="Y43" s="3673"/>
      <c r="Z43" s="3451" t="str">
        <f t="shared" si="15"/>
        <v>内部装修</v>
      </c>
      <c r="AA43" s="3449">
        <f t="shared" si="3"/>
        <v>0.98039215686274506</v>
      </c>
      <c r="AB43" s="3449">
        <f t="shared" si="4"/>
        <v>1.0204081632653061</v>
      </c>
      <c r="AC43" s="1961">
        <f t="shared" si="5"/>
        <v>0.98039215686274506</v>
      </c>
    </row>
    <row r="44" spans="1:29" ht="15.75"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671"/>
      <c r="Q44" s="3448" t="str">
        <f t="shared" si="11"/>
        <v>内部装修维护情况</v>
      </c>
      <c r="R44" s="704" t="s">
        <v>14</v>
      </c>
      <c r="S44" s="705">
        <f t="shared" si="12"/>
        <v>100</v>
      </c>
      <c r="T44" s="704" t="s">
        <v>14</v>
      </c>
      <c r="U44" s="705">
        <f t="shared" si="13"/>
        <v>100</v>
      </c>
      <c r="V44" s="704" t="s">
        <v>14</v>
      </c>
      <c r="W44" s="705">
        <f t="shared" si="14"/>
        <v>100</v>
      </c>
      <c r="X44" s="3450"/>
      <c r="Y44" s="3673"/>
      <c r="Z44" s="3451" t="str">
        <f t="shared" si="15"/>
        <v>内部装修维护情况</v>
      </c>
      <c r="AA44" s="3449">
        <f t="shared" si="3"/>
        <v>1</v>
      </c>
      <c r="AB44" s="3449">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3446">
        <f t="shared" si="11"/>
        <v>111</v>
      </c>
      <c r="R45" s="700" t="s">
        <v>14</v>
      </c>
      <c r="S45" s="701">
        <f t="shared" si="12"/>
        <v>100</v>
      </c>
      <c r="T45" s="700" t="s">
        <v>14</v>
      </c>
      <c r="U45" s="701">
        <f t="shared" si="13"/>
        <v>100</v>
      </c>
      <c r="V45" s="700" t="s">
        <v>14</v>
      </c>
      <c r="W45" s="701">
        <f t="shared" si="14"/>
        <v>100</v>
      </c>
      <c r="X45" s="702"/>
      <c r="Y45" s="3673"/>
      <c r="Z45" s="3445">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3448">
        <f t="shared" si="11"/>
        <v>111</v>
      </c>
      <c r="R46" s="704" t="s">
        <v>14</v>
      </c>
      <c r="S46" s="705">
        <f t="shared" si="12"/>
        <v>100</v>
      </c>
      <c r="T46" s="704" t="s">
        <v>14</v>
      </c>
      <c r="U46" s="705">
        <f t="shared" si="13"/>
        <v>100</v>
      </c>
      <c r="V46" s="704" t="s">
        <v>14</v>
      </c>
      <c r="W46" s="705">
        <f t="shared" si="14"/>
        <v>100</v>
      </c>
      <c r="X46" s="3450"/>
      <c r="Y46" s="3673"/>
      <c r="Z46" s="3451">
        <f t="shared" si="15"/>
        <v>111</v>
      </c>
      <c r="AA46" s="3449">
        <f t="shared" si="3"/>
        <v>1</v>
      </c>
      <c r="AB46" s="3449">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3448">
        <f t="shared" si="11"/>
        <v>111</v>
      </c>
      <c r="R47" s="704" t="s">
        <v>14</v>
      </c>
      <c r="S47" s="705">
        <f t="shared" si="12"/>
        <v>100</v>
      </c>
      <c r="T47" s="704" t="s">
        <v>14</v>
      </c>
      <c r="U47" s="705">
        <f t="shared" si="13"/>
        <v>100</v>
      </c>
      <c r="V47" s="704" t="s">
        <v>14</v>
      </c>
      <c r="W47" s="705">
        <f t="shared" si="14"/>
        <v>100</v>
      </c>
      <c r="X47" s="3450"/>
      <c r="Y47" s="3674"/>
      <c r="Z47" s="3451">
        <f t="shared" si="15"/>
        <v>111</v>
      </c>
      <c r="AA47" s="3449">
        <f t="shared" si="3"/>
        <v>1</v>
      </c>
      <c r="AB47" s="3449">
        <f t="shared" si="4"/>
        <v>1</v>
      </c>
      <c r="AC47" s="1961">
        <f t="shared" si="5"/>
        <v>1</v>
      </c>
    </row>
    <row r="48" spans="1:29" ht="15">
      <c r="A48" s="429" t="s">
        <v>1707</v>
      </c>
      <c r="B48" s="430"/>
      <c r="C48" s="1153" t="s">
        <v>0</v>
      </c>
      <c r="D48" s="1154"/>
      <c r="E48" s="1155">
        <v>30740</v>
      </c>
      <c r="F48" s="1156"/>
      <c r="G48" s="1157">
        <v>32134</v>
      </c>
      <c r="H48" s="1158"/>
      <c r="I48" s="1155">
        <v>29023</v>
      </c>
      <c r="J48" s="435"/>
      <c r="K48" s="713"/>
      <c r="L48" s="2720"/>
      <c r="M48" s="2712"/>
      <c r="N48" s="2712"/>
      <c r="O48" s="2712"/>
      <c r="P48" s="3660" t="str">
        <f>A48</f>
        <v>成交单价（元/平方米）</v>
      </c>
      <c r="Q48" s="3661"/>
      <c r="R48" s="3662">
        <f>E48</f>
        <v>30740</v>
      </c>
      <c r="S48" s="3662"/>
      <c r="T48" s="3662">
        <f>G48</f>
        <v>32134</v>
      </c>
      <c r="U48" s="3662"/>
      <c r="V48" s="3662">
        <f>I48</f>
        <v>29023</v>
      </c>
      <c r="W48" s="3662"/>
      <c r="X48" s="396"/>
      <c r="Y48" s="711"/>
      <c r="Z48" s="396"/>
      <c r="AA48" s="396"/>
      <c r="AB48" s="396"/>
      <c r="AC48" s="577"/>
    </row>
    <row r="49" spans="1:29" ht="15.75" thickBot="1">
      <c r="A49" s="436" t="s">
        <v>1708</v>
      </c>
      <c r="B49" s="437"/>
      <c r="C49" s="1159">
        <f>R50</f>
        <v>29387</v>
      </c>
      <c r="D49" s="2316" t="s">
        <v>2137</v>
      </c>
      <c r="E49" s="1160">
        <f>R49</f>
        <v>29254</v>
      </c>
      <c r="F49" s="2317"/>
      <c r="G49" s="1159">
        <f>T49</f>
        <v>31829</v>
      </c>
      <c r="H49" s="2317"/>
      <c r="I49" s="1160">
        <f>V49</f>
        <v>27078</v>
      </c>
      <c r="J49" s="2317"/>
      <c r="K49" s="2319">
        <f>F49+H49+J49</f>
        <v>0</v>
      </c>
      <c r="L49" s="2720"/>
      <c r="M49" s="2712"/>
      <c r="N49" s="2712"/>
      <c r="O49" s="2712"/>
      <c r="P49" s="3660" t="str">
        <f>A49</f>
        <v>比较价值（元/平方米）</v>
      </c>
      <c r="Q49" s="3661"/>
      <c r="R49" s="3662">
        <f>IF(F1="售价",ROUND(PRODUCT(R48,AA7:AA47),0),ROUND(PRODUCT(R48,AA7:AA47),1))</f>
        <v>29254</v>
      </c>
      <c r="S49" s="3662"/>
      <c r="T49" s="3662">
        <f>IF(F1="售价",ROUND(PRODUCT(T48,AB7:AB47),0),ROUND(PRODUCT(T48,AB7:AB47),1))</f>
        <v>31829</v>
      </c>
      <c r="U49" s="3662"/>
      <c r="V49" s="3662">
        <f>IF(F1="售价",ROUND(PRODUCT(V48,AC7:AC47),0),ROUND(PRODUCT(V48,AC7:AC47),1))</f>
        <v>27078</v>
      </c>
      <c r="W49" s="3662"/>
      <c r="X49" s="396"/>
      <c r="Y49" s="396"/>
      <c r="Z49" s="396"/>
      <c r="AA49" s="396"/>
      <c r="AB49" s="396"/>
      <c r="AC49" s="577"/>
    </row>
    <row r="50" spans="1:29" ht="15.75" thickBot="1">
      <c r="A50" s="440" t="s">
        <v>1709</v>
      </c>
      <c r="B50" s="441"/>
      <c r="C50" s="1162">
        <f>R50</f>
        <v>29387</v>
      </c>
      <c r="D50" s="1162"/>
      <c r="E50" s="1162"/>
      <c r="F50" s="1162"/>
      <c r="G50" s="1162"/>
      <c r="H50" s="1162"/>
      <c r="I50" s="1162"/>
      <c r="J50" s="442"/>
      <c r="K50" s="714"/>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29387</v>
      </c>
      <c r="S50" s="3665"/>
      <c r="T50" s="3665"/>
      <c r="U50" s="3665"/>
      <c r="V50" s="3665"/>
      <c r="W50" s="366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1710</v>
      </c>
      <c r="D53" s="446"/>
      <c r="E53" s="447">
        <f>IF(E48&lt;E49,E49/E48-1,E48/E49-1)</f>
        <v>5.0796472277295335E-2</v>
      </c>
      <c r="F53" s="448" t="str">
        <f>IF(OR(E53&gt;=0.3,E53&lt;=-0.3),"超过30%","")</f>
        <v/>
      </c>
      <c r="G53" s="447">
        <f>IF(G48&lt;G49,G49/G48-1,G48/G49-1)</f>
        <v>9.5824562505890665E-3</v>
      </c>
      <c r="H53" s="448" t="str">
        <f>IF(OR(G53&gt;=0.3,G53&lt;=-0.3),"超过30%","")</f>
        <v/>
      </c>
      <c r="I53" s="447">
        <f>IF(I48&lt;I49,I49/I48-1,I48/I49-1)</f>
        <v>7.1829529507349221E-2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1711</v>
      </c>
      <c r="D54" s="449"/>
      <c r="E54" s="447">
        <f>IF(E49&lt;G49,G49/E49-1,E49/G49-1)</f>
        <v>8.8022150816982281E-2</v>
      </c>
      <c r="F54" s="448" t="str">
        <f>IF(OR(E54&gt;=0.2,E54&lt;=-0.2),"超过20%","")</f>
        <v/>
      </c>
      <c r="G54" s="447">
        <f>IF(G49&lt;I49,I49/G49-1,G49/I49-1)</f>
        <v>0.17545608981460958</v>
      </c>
      <c r="H54" s="448" t="str">
        <f>IF(OR(G54&gt;=0.2,G54&lt;=-0.2),"超过20%","")</f>
        <v/>
      </c>
      <c r="I54" s="447">
        <f>IF(I49&lt;E49,E49/I49-1,I49/E49-1)</f>
        <v>8.0360440209764405E-2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1712</v>
      </c>
      <c r="D55" s="449"/>
      <c r="E55" s="447">
        <f>IF(E48&lt;G48,G48/E48-1,E48/G48-1)</f>
        <v>4.5348080676642866E-2</v>
      </c>
      <c r="F55" s="448" t="str">
        <f>IF(OR(E55&gt;=0.3,E55&lt;=-0.3),"超过30%","")</f>
        <v/>
      </c>
      <c r="G55" s="447">
        <f>IF(G48&lt;I48,I48/G48-1,G48/I48-1)</f>
        <v>0.10719084863728767</v>
      </c>
      <c r="H55" s="448" t="str">
        <f>IF(OR(G55&gt;=0.3,G55&lt;=-0.3),"超过30%","")</f>
        <v/>
      </c>
      <c r="I55" s="447">
        <f>IF(I48&lt;E48,E48/I48-1,I48/E48-1)</f>
        <v>5.9159976570306361E-2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1713</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v>100</v>
      </c>
      <c r="E60" s="460">
        <v>100</v>
      </c>
      <c r="F60" s="460">
        <v>100</v>
      </c>
      <c r="G60" s="460">
        <v>100</v>
      </c>
      <c r="H60" s="460">
        <v>100</v>
      </c>
      <c r="I60" s="460">
        <v>100</v>
      </c>
      <c r="J60" s="460">
        <v>100</v>
      </c>
      <c r="K60" s="460">
        <v>100</v>
      </c>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3464" t="s">
        <v>3466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101</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3461" t="s">
        <v>3470</v>
      </c>
      <c r="D87" s="3461" t="s">
        <v>3468</v>
      </c>
      <c r="E87" s="3461" t="s">
        <v>3469</v>
      </c>
      <c r="F87" s="3461" t="s">
        <v>3471</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61" t="s">
        <v>3472</v>
      </c>
      <c r="D89" s="3461" t="s">
        <v>3473</v>
      </c>
      <c r="E89" s="3461" t="s">
        <v>3474</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3476</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0(含)-200</v>
      </c>
      <c r="D103" s="526" t="str">
        <f t="shared" ref="D103:L103" si="23">D104&amp;"(含)"&amp;"-"&amp;E104</f>
        <v>200(含)-400</v>
      </c>
      <c r="E103" s="526" t="str">
        <f t="shared" si="23"/>
        <v>400(含)-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100</v>
      </c>
      <c r="E105" s="484">
        <v>101</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3477</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3478</v>
      </c>
      <c r="D108" s="3461" t="s">
        <v>3479</v>
      </c>
      <c r="E108" s="3461" t="s">
        <v>3480</v>
      </c>
      <c r="F108" s="3463" t="s">
        <v>3481</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3482</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3483</v>
      </c>
      <c r="D115" s="3461" t="s">
        <v>3484</v>
      </c>
      <c r="E115" s="3463" t="s">
        <v>3485</v>
      </c>
      <c r="F115" s="3463" t="s">
        <v>3486</v>
      </c>
      <c r="G115" s="3463" t="s">
        <v>3487</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3488</v>
      </c>
      <c r="D117" s="3461" t="s">
        <v>3489</v>
      </c>
      <c r="E117" s="3461" t="s">
        <v>3490</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3491</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3478</v>
      </c>
      <c r="D123" s="3461" t="s">
        <v>3479</v>
      </c>
      <c r="E123" s="3461" t="s">
        <v>3480</v>
      </c>
      <c r="F123" s="3463" t="s">
        <v>3481</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2" zoomScale="70" zoomScaleNormal="70" zoomScaleSheetLayoutView="70"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20.14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288.02839999999998</v>
      </c>
      <c r="C2" s="1386" t="s">
        <v>879</v>
      </c>
      <c r="D2" s="1470">
        <f ca="1">C40+J29+L46</f>
        <v>2880284</v>
      </c>
      <c r="E2" s="1387" t="s">
        <v>880</v>
      </c>
      <c r="F2" s="1388"/>
      <c r="G2" s="2702"/>
      <c r="H2" s="2691"/>
      <c r="I2" s="2691"/>
      <c r="J2" s="2691"/>
      <c r="K2" s="2692"/>
      <c r="L2" s="2691"/>
      <c r="M2" s="2691"/>
    </row>
    <row r="3" spans="1:37" ht="18" customHeight="1" thickBot="1">
      <c r="A3" s="1389" t="s">
        <v>881</v>
      </c>
      <c r="B3" s="1390">
        <f ca="1">IF(ISERROR(D2/F43),0,ROUND(D2/F43,0))</f>
        <v>21984</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213794</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213527</v>
      </c>
      <c r="D6" s="154" t="s">
        <v>2105</v>
      </c>
      <c r="E6" s="301" t="s">
        <v>696</v>
      </c>
      <c r="F6" s="302">
        <f ca="1">INDIRECT("'数据-取费表'!u"&amp;$G$1)</f>
        <v>4.7</v>
      </c>
      <c r="G6" s="1383"/>
      <c r="H6" s="1068" t="s">
        <v>398</v>
      </c>
      <c r="I6" s="3657" t="s">
        <v>694</v>
      </c>
      <c r="J6" s="300">
        <f ca="1">ROUND(M6*M8*M7*(1-M9),0)</f>
        <v>0</v>
      </c>
      <c r="K6" s="1375"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131.02000000000001</v>
      </c>
      <c r="G7" s="1383"/>
      <c r="H7" s="303"/>
      <c r="I7" s="3658"/>
      <c r="J7" s="305"/>
      <c r="K7" s="306"/>
      <c r="L7" s="301" t="s">
        <v>697</v>
      </c>
      <c r="M7" s="302">
        <f ca="1">F7</f>
        <v>131.02000000000001</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0.05</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267</v>
      </c>
      <c r="D10" s="1365" t="s">
        <v>2115</v>
      </c>
      <c r="E10" s="312" t="s">
        <v>701</v>
      </c>
      <c r="F10" s="1115" t="s">
        <v>3447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513137</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524080</v>
      </c>
      <c r="D14" s="1344" t="s">
        <v>708</v>
      </c>
      <c r="E14" s="1341"/>
      <c r="F14" s="318"/>
      <c r="G14" s="1383"/>
      <c r="H14" s="981" t="s">
        <v>398</v>
      </c>
      <c r="I14" s="301" t="s">
        <v>709</v>
      </c>
      <c r="J14" s="21">
        <f ca="1">C29</f>
        <v>754613</v>
      </c>
      <c r="K14" s="12"/>
      <c r="L14" s="806"/>
      <c r="M14" s="807"/>
    </row>
    <row r="15" spans="1:37" s="1396" customFormat="1" ht="18" customHeight="1" thickBot="1">
      <c r="A15" s="981" t="s">
        <v>399</v>
      </c>
      <c r="B15" s="301" t="s">
        <v>710</v>
      </c>
      <c r="C15" s="21">
        <f ca="1">ROUND(C14*F15,0)</f>
        <v>15722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6037</v>
      </c>
      <c r="K16" s="1086" t="s">
        <v>715</v>
      </c>
      <c r="L16" s="1087"/>
      <c r="M16" s="1071"/>
    </row>
    <row r="17" spans="1:37" s="1396" customFormat="1" ht="18" customHeight="1">
      <c r="A17" s="981" t="s">
        <v>681</v>
      </c>
      <c r="B17" s="301" t="s">
        <v>716</v>
      </c>
      <c r="C17" s="21">
        <f ca="1">ROUND(F17*(F43+INDIRECT("'数据-取费表'!S"&amp;$G$1)),0)</f>
        <v>26204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10482</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576488</v>
      </c>
      <c r="D19" s="130" t="s">
        <v>726</v>
      </c>
      <c r="E19" s="1359"/>
      <c r="F19" s="23"/>
      <c r="G19" s="1383"/>
      <c r="H19" s="981" t="s">
        <v>399</v>
      </c>
      <c r="I19" s="301" t="s">
        <v>727</v>
      </c>
      <c r="J19" s="21">
        <f ca="1">IF(K19="按租金收入计税",ROUND(J6*M19/(1+'数据-取费表'!C42),0),ROUND(C29*M19*0.7,0))</f>
        <v>0</v>
      </c>
      <c r="K19" s="1369" t="s">
        <v>3335</v>
      </c>
      <c r="L19" s="301" t="s">
        <v>712</v>
      </c>
      <c r="M19" s="321">
        <f>IF(K19="按租金收入计税",'数据-取费表'!B51,'数据-取费表'!B50)</f>
        <v>0.12</v>
      </c>
    </row>
    <row r="20" spans="1:37" s="1396" customFormat="1" ht="18" customHeight="1">
      <c r="A20" s="981" t="s">
        <v>402</v>
      </c>
      <c r="B20" s="301" t="s">
        <v>728</v>
      </c>
      <c r="C20" s="21">
        <f ca="1">ROUND(C19*F20,0)</f>
        <v>11530</v>
      </c>
      <c r="D20" s="322" t="s">
        <v>729</v>
      </c>
      <c r="E20" s="301" t="s">
        <v>712</v>
      </c>
      <c r="F20" s="321">
        <f>'数据-取费表'!B37</f>
        <v>0.02</v>
      </c>
      <c r="G20" s="1395"/>
      <c r="H20" s="981" t="s">
        <v>680</v>
      </c>
      <c r="I20" s="154" t="s">
        <v>730</v>
      </c>
      <c r="J20" s="22">
        <f ca="1">ROUND(M20*M21,0)</f>
        <v>363</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12.1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6037</v>
      </c>
      <c r="K22" s="1343" t="s">
        <v>739</v>
      </c>
      <c r="L22" s="301" t="s">
        <v>712</v>
      </c>
      <c r="M22" s="327">
        <f ca="1">INDIRECT("'数据-取费表'!Ak"&amp;$G$1)</f>
        <v>8.0000000000000002E-3</v>
      </c>
    </row>
    <row r="23" spans="1:37" s="1396" customFormat="1" ht="18" customHeight="1">
      <c r="A23" s="981" t="s">
        <v>397</v>
      </c>
      <c r="B23" s="301" t="s">
        <v>740</v>
      </c>
      <c r="C23" s="21">
        <f ca="1">IF('数据-取费表'!B22&lt;=1,ROUND(C19*F24*F23/2,0)+ROUND(C20*F24*F23/2,0),ROUND(C19*(POWER((1+F24),F23/2)-1),0)+ROUND(C20*(POWER((1+F24),F23/2)-1),0))</f>
        <v>20287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-6037</v>
      </c>
      <c r="K25" s="1094" t="s">
        <v>753</v>
      </c>
      <c r="L25" s="1095"/>
      <c r="M25" s="1096"/>
    </row>
    <row r="26" spans="1:37" ht="18" customHeight="1">
      <c r="A26" s="981" t="s">
        <v>397</v>
      </c>
      <c r="B26" s="301" t="s">
        <v>754</v>
      </c>
      <c r="C26" s="21">
        <f ca="1">ROUND((C19+C20)*F26,0)</f>
        <v>88203</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754613</v>
      </c>
      <c r="D29" s="1091"/>
      <c r="E29" s="1089"/>
      <c r="F29" s="1092"/>
      <c r="G29" s="1395"/>
      <c r="H29" s="333" t="s">
        <v>396</v>
      </c>
      <c r="I29" s="334" t="s">
        <v>768</v>
      </c>
      <c r="J29" s="335">
        <f ca="1">ROUND(J26/(1+F40)^F41,0)</f>
        <v>0</v>
      </c>
      <c r="K29" s="336" t="s">
        <v>769</v>
      </c>
      <c r="L29" s="337"/>
      <c r="M29" s="338">
        <f ca="1">INDIRECT("'数据-取费表'!k"&amp;$G$1)</f>
        <v>131.02000000000001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22495</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14235</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IF(项目基本情况!B11="自然人","——",ROUND(C6*F32/(1+'数据-取费表'!C42),0))</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IF(项目基本情况!B11="自然人","——",ROUND(F34*F35,0))</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12.1</v>
      </c>
      <c r="G35" s="1383"/>
      <c r="H35" s="2693"/>
      <c r="I35" s="1397"/>
      <c r="J35" s="1398"/>
      <c r="K35" s="2697"/>
      <c r="L35" s="2696"/>
      <c r="M35" s="2696"/>
    </row>
    <row r="36" spans="1:18" ht="18" customHeight="1">
      <c r="A36" s="1101" t="s">
        <v>402</v>
      </c>
      <c r="B36" s="301" t="s">
        <v>738</v>
      </c>
      <c r="C36" s="21">
        <f ca="1">ROUND(C29*F36,0)</f>
        <v>6037</v>
      </c>
      <c r="D36" s="1343" t="s">
        <v>771</v>
      </c>
      <c r="E36" s="301" t="s">
        <v>712</v>
      </c>
      <c r="F36" s="327">
        <f ca="1">INDIRECT("'数据-取费表'!Ak"&amp;$G$1)</f>
        <v>8.0000000000000002E-3</v>
      </c>
      <c r="G36" s="1383"/>
      <c r="H36" s="2696"/>
      <c r="I36" s="1397"/>
      <c r="J36" s="1398"/>
      <c r="K36" s="2540"/>
      <c r="L36" s="2696"/>
      <c r="M36" s="2696"/>
    </row>
    <row r="37" spans="1:18" ht="18" customHeight="1">
      <c r="A37" s="981" t="s">
        <v>437</v>
      </c>
      <c r="B37" s="301" t="s">
        <v>742</v>
      </c>
      <c r="C37" s="21">
        <f ca="1">ROUND(C13*F37,0)</f>
        <v>513</v>
      </c>
      <c r="D37" s="1343" t="s">
        <v>743</v>
      </c>
      <c r="E37" s="301" t="s">
        <v>744</v>
      </c>
      <c r="F37" s="329">
        <f ca="1">INDIRECT("'数据-取费表'!Al"&amp;$G$1)</f>
        <v>1E-3</v>
      </c>
      <c r="G37" s="1383"/>
      <c r="H37" s="2696"/>
      <c r="I37" s="1397"/>
      <c r="J37" s="1398"/>
      <c r="K37" s="2540"/>
      <c r="L37" s="2696"/>
      <c r="M37" s="2696"/>
    </row>
    <row r="38" spans="1:18" ht="18" customHeight="1" thickBot="1">
      <c r="A38" s="1088" t="s">
        <v>684</v>
      </c>
      <c r="B38" s="1089" t="s">
        <v>728</v>
      </c>
      <c r="C38" s="1090">
        <f ca="1">ROUND(C5*F38,0)</f>
        <v>1710</v>
      </c>
      <c r="D38" s="1091" t="s">
        <v>748</v>
      </c>
      <c r="E38" s="1089" t="s">
        <v>744</v>
      </c>
      <c r="F38" s="1085">
        <f ca="1">INDIRECT("'数据-取费表'!Am"&amp;$G$1)</f>
        <v>8.0000000000000002E-3</v>
      </c>
      <c r="G38" s="1383"/>
      <c r="H38" s="2696">
        <f ca="1">C39/C5</f>
        <v>0.89478189285012677</v>
      </c>
      <c r="I38" s="1397"/>
      <c r="J38" s="1398"/>
      <c r="K38" s="2700"/>
      <c r="L38" s="2696"/>
      <c r="M38" s="2696"/>
    </row>
    <row r="39" spans="1:18" ht="24.6" customHeight="1" thickTop="1">
      <c r="A39" s="1078" t="s">
        <v>394</v>
      </c>
      <c r="B39" s="1093" t="s">
        <v>772</v>
      </c>
      <c r="C39" s="309">
        <f ca="1">C5-C30</f>
        <v>191299</v>
      </c>
      <c r="D39" s="1094" t="s">
        <v>773</v>
      </c>
      <c r="E39" s="1095"/>
      <c r="F39" s="1096"/>
      <c r="G39" s="1383"/>
      <c r="H39" s="2696"/>
      <c r="I39" s="1397"/>
      <c r="J39" s="1398"/>
      <c r="K39" s="2700"/>
      <c r="L39" s="2696"/>
      <c r="M39" s="2696"/>
    </row>
    <row r="40" spans="1:18" ht="18" customHeight="1">
      <c r="A40" s="298" t="s">
        <v>395</v>
      </c>
      <c r="B40" s="299" t="s">
        <v>774</v>
      </c>
      <c r="C40" s="300">
        <f ca="1">ROUND(C39*(1-((1+F42)/(1+F40))^F41)/(F40-F42),0)</f>
        <v>2809942</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20.14</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21447</v>
      </c>
      <c r="D43" s="336" t="s">
        <v>777</v>
      </c>
      <c r="E43" s="337" t="s">
        <v>778</v>
      </c>
      <c r="F43" s="338">
        <f ca="1">INDIRECT("'数据-取费表'!k"&amp;$G$1)</f>
        <v>131.02000000000001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f ca="1">ROUND((C68-C40)/10000,4)</f>
        <v>-288.85219999999998</v>
      </c>
      <c r="D45" s="3428" t="s">
        <v>3352</v>
      </c>
      <c r="E45" s="1399"/>
      <c r="F45" s="1399"/>
      <c r="O45" s="1402" t="s">
        <v>808</v>
      </c>
      <c r="P45" s="1460"/>
      <c r="Q45" s="1460"/>
      <c r="R45" s="1460"/>
    </row>
    <row r="46" spans="1:18" s="1383" customFormat="1" ht="13.5" thickBot="1">
      <c r="A46" s="1403" t="s">
        <v>809</v>
      </c>
      <c r="C46" s="1404">
        <f ca="1">ROUND(C45,0)</f>
        <v>-289</v>
      </c>
      <c r="D46" s="1405" t="str">
        <f>C2</f>
        <v>万元</v>
      </c>
      <c r="I46" s="1406" t="s">
        <v>810</v>
      </c>
      <c r="J46" s="1407"/>
      <c r="K46" s="1408"/>
      <c r="L46" s="1409">
        <f ca="1">IF(M47="住宅",0,IF(L48&gt;J51,L60,J60))</f>
        <v>70342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3448</v>
      </c>
      <c r="K47" s="1415" t="s">
        <v>816</v>
      </c>
      <c r="L47" s="1416">
        <f ca="1">INDIRECT("'数据-取费表'!d"&amp;$G$1)</f>
        <v>50</v>
      </c>
      <c r="M47" s="1379" t="str">
        <f>IF(ISNUMBER(FIND("住宅",C1)),"住宅","非住宅")</f>
        <v>非住宅</v>
      </c>
      <c r="O47" s="1417" t="s">
        <v>403</v>
      </c>
      <c r="P47" s="1418" t="s">
        <v>817</v>
      </c>
      <c r="Q47" s="1419">
        <f ca="1">C40+J29</f>
        <v>2809942</v>
      </c>
      <c r="R47" s="1419" t="s">
        <v>818</v>
      </c>
    </row>
    <row r="48" spans="1:18" s="1383" customFormat="1" ht="28.5" thickBot="1">
      <c r="A48" s="1109" t="s">
        <v>438</v>
      </c>
      <c r="B48" s="299" t="s">
        <v>692</v>
      </c>
      <c r="C48" s="1358">
        <f ca="1">C49+C53+C55</f>
        <v>0</v>
      </c>
      <c r="D48" s="1111"/>
      <c r="E48" s="1112"/>
      <c r="F48" s="961"/>
      <c r="G48" s="721"/>
      <c r="H48" s="722"/>
      <c r="I48" s="1420" t="s">
        <v>819</v>
      </c>
      <c r="J48" s="1421" t="s">
        <v>3449</v>
      </c>
      <c r="K48" s="1422" t="s">
        <v>820</v>
      </c>
      <c r="L48" s="1423">
        <f ca="1">INDIRECT("'数据-取费表'!f"&amp;$G$1)</f>
        <v>20.14</v>
      </c>
      <c r="O48" s="1417" t="s">
        <v>404</v>
      </c>
      <c r="P48" s="1418" t="s">
        <v>821</v>
      </c>
      <c r="Q48" s="1419">
        <f ca="1">J60</f>
        <v>70342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1997</v>
      </c>
      <c r="K49" s="1422" t="s">
        <v>824</v>
      </c>
      <c r="L49" s="1426"/>
      <c r="O49" s="1427" t="s">
        <v>405</v>
      </c>
      <c r="P49" s="1418" t="s">
        <v>825</v>
      </c>
      <c r="Q49" s="1419">
        <f ca="1">C29</f>
        <v>754613</v>
      </c>
      <c r="R49" s="1419" t="s">
        <v>818</v>
      </c>
    </row>
    <row r="50" spans="1:18" s="1383" customFormat="1" ht="13.5" thickBot="1">
      <c r="A50" s="975"/>
      <c r="B50" s="978"/>
      <c r="C50" s="979"/>
      <c r="D50" s="952"/>
      <c r="E50" s="1055" t="s">
        <v>697</v>
      </c>
      <c r="F50" s="1056">
        <f ca="1">F7</f>
        <v>131.02000000000001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33</v>
      </c>
      <c r="K51" s="1433" t="s">
        <v>830</v>
      </c>
      <c r="L51" s="1434">
        <f ca="1">ROUND(-PV(INDIRECT("'数据-取费表'!h"&amp;$G$1),J51,(C39-C13*C76),0),0)</f>
        <v>2486467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20.14</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20.14</v>
      </c>
      <c r="K53" s="3655" t="s">
        <v>837</v>
      </c>
      <c r="L53" s="3656"/>
      <c r="O53" s="1417" t="s">
        <v>409</v>
      </c>
      <c r="P53" s="1418" t="s">
        <v>838</v>
      </c>
      <c r="Q53" s="1419">
        <f ca="1">Q47+Q48</f>
        <v>2880284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0.214</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513137</v>
      </c>
      <c r="D56" s="1446"/>
      <c r="E56" s="1447"/>
      <c r="F56" s="1439"/>
      <c r="I56" s="1448" t="s">
        <v>842</v>
      </c>
      <c r="J56" s="1449" t="s">
        <v>3390</v>
      </c>
      <c r="K56" s="1420" t="s">
        <v>843</v>
      </c>
      <c r="L56" s="1423" t="str">
        <f ca="1">IF(L48&lt;J51,"——",L48-J51)</f>
        <v>——</v>
      </c>
      <c r="O56" s="1417" t="s">
        <v>403</v>
      </c>
      <c r="P56" s="1418" t="s">
        <v>817</v>
      </c>
      <c r="Q56" s="1419">
        <f ca="1">C40+J29</f>
        <v>2809942</v>
      </c>
      <c r="R56" s="1419" t="s">
        <v>818</v>
      </c>
    </row>
    <row r="57" spans="1:18" s="1383" customFormat="1" ht="24.75" thickBot="1">
      <c r="A57" s="1450"/>
      <c r="B57" s="949" t="s">
        <v>767</v>
      </c>
      <c r="C57" s="237">
        <f ca="1">C29</f>
        <v>754613</v>
      </c>
      <c r="D57" s="1451"/>
      <c r="E57" s="1452"/>
      <c r="F57" s="1453"/>
      <c r="I57" s="1454" t="s">
        <v>844</v>
      </c>
      <c r="J57" s="1455">
        <f ca="1">IF(OR(M47="住宅",J51&lt;L48,J56="是"),"——",J51-L48)</f>
        <v>12.86</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6550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301845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0">
        <f t="shared" ref="F60:F66" si="0">F32</f>
        <v>5.6000000000000001E-2</v>
      </c>
      <c r="I60" s="1457" t="s">
        <v>853</v>
      </c>
      <c r="J60" s="1458">
        <f ca="1">IF(OR(M47="住宅",J51&lt;L48,J56="是"),"0",ROUND(J59/(1+J52)^J53,0))</f>
        <v>70342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4">
        <f t="shared" si="0"/>
        <v>30</v>
      </c>
      <c r="I62" s="1461" t="s">
        <v>858</v>
      </c>
      <c r="J62" s="1462" t="s">
        <v>859</v>
      </c>
      <c r="K62" s="1462" t="s">
        <v>860</v>
      </c>
      <c r="L62" s="1462" t="s">
        <v>861</v>
      </c>
      <c r="M62" s="1463" t="s">
        <v>862</v>
      </c>
      <c r="O62" s="1417" t="s">
        <v>409</v>
      </c>
      <c r="P62" s="1418" t="s">
        <v>863</v>
      </c>
      <c r="Q62" s="1419">
        <f ca="1">Q56+Q57</f>
        <v>2809942</v>
      </c>
      <c r="R62" s="1419" t="s">
        <v>410</v>
      </c>
    </row>
    <row r="63" spans="1:18" s="1383" customFormat="1" ht="13.5" thickBot="1">
      <c r="A63" s="325"/>
      <c r="B63" s="955"/>
      <c r="C63" s="26"/>
      <c r="D63" s="965"/>
      <c r="E63" s="949" t="s">
        <v>788</v>
      </c>
      <c r="F63" s="302">
        <f t="shared" ca="1" si="0"/>
        <v>12.1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6037</v>
      </c>
      <c r="D64" s="963" t="s">
        <v>791</v>
      </c>
      <c r="E64" s="949" t="s">
        <v>783</v>
      </c>
      <c r="F64" s="327">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513</v>
      </c>
      <c r="D65" s="963" t="s">
        <v>743</v>
      </c>
      <c r="E65" s="949" t="s">
        <v>744</v>
      </c>
      <c r="F65" s="329">
        <f t="shared" ca="1" si="0"/>
        <v>1E-3</v>
      </c>
      <c r="I65" s="1461" t="s">
        <v>867</v>
      </c>
      <c r="J65" s="1462">
        <v>40</v>
      </c>
      <c r="K65" s="1462">
        <v>30</v>
      </c>
      <c r="L65" s="1462">
        <v>50</v>
      </c>
      <c r="M65" s="1464">
        <v>0.02</v>
      </c>
      <c r="O65" s="1417" t="s">
        <v>403</v>
      </c>
      <c r="P65" s="1418" t="s">
        <v>868</v>
      </c>
      <c r="Q65" s="1419">
        <f ca="1">C40+J29</f>
        <v>2809942</v>
      </c>
      <c r="R65" s="1419" t="s">
        <v>818</v>
      </c>
    </row>
    <row r="66" spans="1:18" s="1383" customFormat="1" ht="16.5" thickBot="1">
      <c r="A66" s="981" t="s">
        <v>793</v>
      </c>
      <c r="B66" s="949" t="s">
        <v>728</v>
      </c>
      <c r="C66" s="21">
        <f ca="1">ROUND(C48*F66,0)</f>
        <v>0</v>
      </c>
      <c r="D66" s="963" t="s">
        <v>794</v>
      </c>
      <c r="E66" s="949" t="s">
        <v>712</v>
      </c>
      <c r="F66" s="311">
        <f t="shared" ca="1" si="0"/>
        <v>8.0000000000000002E-3</v>
      </c>
      <c r="O66" s="1417" t="s">
        <v>404</v>
      </c>
      <c r="P66" s="1418" t="s">
        <v>846</v>
      </c>
      <c r="Q66" s="1419">
        <f ca="1">L60</f>
        <v>0</v>
      </c>
      <c r="R66" s="1419" t="s">
        <v>869</v>
      </c>
    </row>
    <row r="67" spans="1:18" s="1383" customFormat="1" ht="16.5" thickBot="1">
      <c r="A67" s="956" t="s">
        <v>394</v>
      </c>
      <c r="B67" s="966" t="s">
        <v>752</v>
      </c>
      <c r="C67" s="315">
        <f ca="1">C48-C58</f>
        <v>-6550</v>
      </c>
      <c r="D67" s="962" t="s">
        <v>753</v>
      </c>
      <c r="E67" s="967"/>
      <c r="F67" s="968"/>
      <c r="O67" s="1427" t="s">
        <v>405</v>
      </c>
      <c r="P67" s="1418" t="s">
        <v>850</v>
      </c>
      <c r="Q67" s="1465">
        <f ca="1">L51</f>
        <v>2486467</v>
      </c>
      <c r="R67" s="1419" t="s">
        <v>870</v>
      </c>
    </row>
    <row r="68" spans="1:18" s="1383" customFormat="1" ht="16.5" thickBot="1">
      <c r="A68" s="946" t="s">
        <v>395</v>
      </c>
      <c r="B68" s="947" t="s">
        <v>774</v>
      </c>
      <c r="C68" s="300">
        <f ca="1">ROUND(C67*(1-((1+F70)/(1+F68))^F69)/(F68-F70),0)</f>
        <v>-78580</v>
      </c>
      <c r="D68" s="964" t="s">
        <v>758</v>
      </c>
      <c r="E68" s="949" t="s">
        <v>759</v>
      </c>
      <c r="F68" s="311">
        <f ca="1">F40</f>
        <v>5.5E-2</v>
      </c>
      <c r="O68" s="1427" t="s">
        <v>406</v>
      </c>
      <c r="P68" s="1466" t="s">
        <v>871</v>
      </c>
      <c r="Q68" s="1419">
        <f ca="1">ROUND(Q69-Q70*Q71,0)</f>
        <v>155379</v>
      </c>
      <c r="R68" s="1419" t="s">
        <v>414</v>
      </c>
    </row>
    <row r="69" spans="1:18" s="1383" customFormat="1" ht="13.5" thickBot="1">
      <c r="A69" s="950"/>
      <c r="B69" s="951"/>
      <c r="C69" s="305"/>
      <c r="D69" s="969" t="s">
        <v>762</v>
      </c>
      <c r="E69" s="949" t="s">
        <v>763</v>
      </c>
      <c r="F69" s="332">
        <f ca="1">F41</f>
        <v>20.14</v>
      </c>
      <c r="O69" s="1427" t="s">
        <v>411</v>
      </c>
      <c r="P69" s="1466" t="s">
        <v>872</v>
      </c>
      <c r="Q69" s="1419">
        <f ca="1">C39</f>
        <v>191299</v>
      </c>
      <c r="R69" s="1419" t="s">
        <v>818</v>
      </c>
    </row>
    <row r="70" spans="1:18" s="1383" customFormat="1" ht="13.5" thickBot="1">
      <c r="A70" s="953"/>
      <c r="B70" s="954"/>
      <c r="C70" s="309"/>
      <c r="D70" s="965"/>
      <c r="E70" s="949" t="s">
        <v>766</v>
      </c>
      <c r="F70" s="1053"/>
      <c r="O70" s="1427" t="s">
        <v>412</v>
      </c>
      <c r="P70" s="1466" t="s">
        <v>873</v>
      </c>
      <c r="Q70" s="1419">
        <f ca="1">C13</f>
        <v>513137</v>
      </c>
      <c r="R70" s="1419" t="s">
        <v>818</v>
      </c>
    </row>
    <row r="71" spans="1:18" s="1383" customFormat="1" ht="13.5" thickBot="1">
      <c r="A71" s="970" t="s">
        <v>396</v>
      </c>
      <c r="B71" s="971" t="s">
        <v>776</v>
      </c>
      <c r="C71" s="335">
        <f ca="1">ROUND(C68/F71,0)</f>
        <v>-600</v>
      </c>
      <c r="D71" s="972" t="s">
        <v>777</v>
      </c>
      <c r="E71" s="973" t="s">
        <v>778</v>
      </c>
      <c r="F71" s="338">
        <f ca="1">F43</f>
        <v>131.02000000000001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35920</v>
      </c>
      <c r="D75" s="1383"/>
      <c r="E75" s="1383"/>
      <c r="F75" s="1383"/>
      <c r="K75" s="1401"/>
      <c r="L75" s="1383"/>
      <c r="O75" s="1417" t="s">
        <v>409</v>
      </c>
      <c r="P75" s="1418" t="s">
        <v>838</v>
      </c>
      <c r="Q75" s="1419">
        <f ca="1">Q65+Q66</f>
        <v>2809942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0.81200000000000006</v>
      </c>
    </row>
    <row r="80" spans="1:18">
      <c r="B80" s="339" t="s">
        <v>800</v>
      </c>
      <c r="C80" s="273">
        <f ca="1">ROUND(C75/C39,3)</f>
        <v>0.188</v>
      </c>
    </row>
    <row r="81" spans="2:3">
      <c r="B81" s="269" t="s">
        <v>801</v>
      </c>
      <c r="C81" s="237"/>
    </row>
    <row r="82" spans="2:3">
      <c r="B82" s="272" t="s">
        <v>802</v>
      </c>
      <c r="C82" s="274">
        <f ca="1">1-C83</f>
        <v>0.81699999999999995</v>
      </c>
    </row>
    <row r="83" spans="2:3">
      <c r="B83" s="272" t="s">
        <v>803</v>
      </c>
      <c r="C83" s="273">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4" t="s">
        <v>2314</v>
      </c>
      <c r="B2" s="2839" t="e">
        <f>IF(D2="——",C40,C40+E2)</f>
        <v>#DIV/0!</v>
      </c>
      <c r="C2" s="2840" t="s">
        <v>2315</v>
      </c>
      <c r="D2" s="3439" t="s">
        <v>3358</v>
      </c>
      <c r="E2" s="3440"/>
      <c r="F2" s="2842"/>
      <c r="G2" s="2843"/>
      <c r="H2" s="2844"/>
      <c r="I2" s="2845"/>
      <c r="J2" s="3717" t="s">
        <v>2316</v>
      </c>
      <c r="K2" s="371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19" t="s">
        <v>2326</v>
      </c>
      <c r="K3" s="372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19" t="s">
        <v>2328</v>
      </c>
      <c r="K4" s="372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25" t="s">
        <v>2332</v>
      </c>
      <c r="B6" s="3726"/>
      <c r="C6" s="3727"/>
      <c r="D6" s="2866"/>
      <c r="E6" s="2867"/>
      <c r="F6" s="2868"/>
      <c r="G6" s="2869"/>
      <c r="H6" s="2844"/>
      <c r="I6" s="2845"/>
      <c r="J6" s="3711">
        <v>1</v>
      </c>
      <c r="K6" s="3712"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11"/>
      <c r="K7" s="3713"/>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28" t="s">
        <v>2346</v>
      </c>
      <c r="C8" s="3729"/>
      <c r="D8" s="2885" t="s">
        <v>2347</v>
      </c>
      <c r="E8" s="2886" t="s">
        <v>2348</v>
      </c>
      <c r="F8" s="2887" t="s">
        <v>2349</v>
      </c>
      <c r="G8" s="2888"/>
      <c r="H8" s="2844"/>
      <c r="I8" s="2845"/>
      <c r="J8" s="3711"/>
      <c r="K8" s="3713"/>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28" t="s">
        <v>2352</v>
      </c>
      <c r="C9" s="3729"/>
      <c r="D9" s="2885">
        <f>ROUND(D6*E9,0)</f>
        <v>0</v>
      </c>
      <c r="E9" s="2889"/>
      <c r="F9" s="2890" t="s">
        <v>2353</v>
      </c>
      <c r="G9" s="2869"/>
      <c r="H9" s="2844"/>
      <c r="I9" s="2845"/>
      <c r="J9" s="3711"/>
      <c r="K9" s="3713"/>
      <c r="L9" s="2879" t="s">
        <v>2354</v>
      </c>
      <c r="M9" s="2880"/>
      <c r="N9" s="2856"/>
      <c r="O9" s="2881"/>
      <c r="P9" s="2881"/>
      <c r="Q9" s="2882">
        <v>365</v>
      </c>
      <c r="R9" s="2883">
        <f t="shared" si="0"/>
        <v>0</v>
      </c>
      <c r="S9" s="2837"/>
      <c r="T9" s="2837"/>
      <c r="U9" s="2837"/>
      <c r="V9" s="2845"/>
    </row>
    <row r="10" spans="1:22" s="2849" customFormat="1" ht="13.15" customHeight="1">
      <c r="A10" s="2884">
        <v>2</v>
      </c>
      <c r="B10" s="3728" t="s">
        <v>2355</v>
      </c>
      <c r="C10" s="3729"/>
      <c r="D10" s="2885">
        <f>ROUND(D6*E10,0)</f>
        <v>0</v>
      </c>
      <c r="E10" s="2889"/>
      <c r="F10" s="2890" t="s">
        <v>2356</v>
      </c>
      <c r="G10" s="2869"/>
      <c r="H10" s="2844"/>
      <c r="I10" s="2845"/>
      <c r="J10" s="3711"/>
      <c r="K10" s="3713"/>
      <c r="L10" s="2879" t="s">
        <v>2357</v>
      </c>
      <c r="M10" s="2880"/>
      <c r="N10" s="2856"/>
      <c r="O10" s="2881"/>
      <c r="P10" s="2881"/>
      <c r="Q10" s="2882">
        <v>365</v>
      </c>
      <c r="R10" s="2883">
        <f t="shared" si="0"/>
        <v>0</v>
      </c>
      <c r="S10" s="2837"/>
      <c r="T10" s="2837"/>
      <c r="U10" s="2837"/>
      <c r="V10" s="2845"/>
    </row>
    <row r="11" spans="1:22" s="2849" customFormat="1" ht="13.15" customHeight="1">
      <c r="A11" s="2884">
        <v>3</v>
      </c>
      <c r="B11" s="3728" t="s">
        <v>2358</v>
      </c>
      <c r="C11" s="3729"/>
      <c r="D11" s="2885">
        <f>D12+D14+D15+D16</f>
        <v>0</v>
      </c>
      <c r="E11" s="2891" t="e">
        <f>D11/D6</f>
        <v>#DIV/0!</v>
      </c>
      <c r="F11" s="2887"/>
      <c r="G11" s="2888"/>
      <c r="H11" s="2844"/>
      <c r="I11" s="2845"/>
      <c r="J11" s="3711"/>
      <c r="K11" s="3713"/>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1" t="s">
        <v>2361</v>
      </c>
      <c r="C12" s="3722"/>
      <c r="D12" s="2893">
        <f>ROUND(D13*1.2%*(1-30%),0)</f>
        <v>0</v>
      </c>
      <c r="E12" s="2894">
        <v>1.2E-2</v>
      </c>
      <c r="F12" s="2887" t="s">
        <v>2362</v>
      </c>
      <c r="G12" s="2888"/>
      <c r="H12" s="2844"/>
      <c r="I12" s="2845"/>
      <c r="J12" s="3711"/>
      <c r="K12" s="3713"/>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11"/>
      <c r="K13" s="3713"/>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1" t="s">
        <v>2367</v>
      </c>
      <c r="C14" s="3722"/>
      <c r="D14" s="2893">
        <f>ROUND(E14*B5/10000,0)</f>
        <v>0</v>
      </c>
      <c r="E14" s="2882"/>
      <c r="F14" s="2887" t="s">
        <v>2368</v>
      </c>
      <c r="G14" s="2888"/>
      <c r="H14" s="2844"/>
      <c r="I14" s="2845"/>
      <c r="J14" s="3711"/>
      <c r="K14" s="3714"/>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1" t="s">
        <v>2371</v>
      </c>
      <c r="C15" s="3722"/>
      <c r="D15" s="2893">
        <f>ROUND(D6*E15,0)</f>
        <v>0</v>
      </c>
      <c r="E15" s="2894">
        <v>5.5E-2</v>
      </c>
      <c r="F15" s="2887" t="s">
        <v>2372</v>
      </c>
      <c r="G15" s="2869"/>
      <c r="H15" s="2844"/>
      <c r="I15" s="2845"/>
      <c r="J15" s="3711">
        <v>2</v>
      </c>
      <c r="K15" s="3712"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1" t="s">
        <v>2380</v>
      </c>
      <c r="C16" s="3722"/>
      <c r="D16" s="2904">
        <f>D6*E16</f>
        <v>0</v>
      </c>
      <c r="E16" s="2905"/>
      <c r="F16" s="2890" t="s">
        <v>2381</v>
      </c>
      <c r="G16" s="2869"/>
      <c r="H16" s="2844"/>
      <c r="I16" s="2845"/>
      <c r="J16" s="3711"/>
      <c r="K16" s="3713"/>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3" t="s">
        <v>2383</v>
      </c>
      <c r="C17" s="3724"/>
      <c r="D17" s="2907">
        <f>ROUND(D6*E17,0)</f>
        <v>0</v>
      </c>
      <c r="E17" s="2908"/>
      <c r="F17" s="2909" t="s">
        <v>2384</v>
      </c>
      <c r="G17" s="2869"/>
      <c r="H17" s="2844"/>
      <c r="I17" s="2845"/>
      <c r="J17" s="3711"/>
      <c r="K17" s="3713"/>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11"/>
      <c r="K18" s="3713"/>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11"/>
      <c r="K19" s="3714"/>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1">
        <v>3</v>
      </c>
      <c r="K20" s="3712"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11"/>
      <c r="K21" s="3713"/>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11"/>
      <c r="K22" s="3713"/>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11"/>
      <c r="K23" s="3713"/>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11"/>
      <c r="K24" s="3714"/>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5">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7" t="s">
        <v>2316</v>
      </c>
      <c r="K32" s="371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19" t="s">
        <v>2326</v>
      </c>
      <c r="K33" s="372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19" t="s">
        <v>2328</v>
      </c>
      <c r="K34" s="372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11">
        <v>1</v>
      </c>
      <c r="K36" s="3712"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11"/>
      <c r="K37" s="3713"/>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1"/>
      <c r="K38" s="3713"/>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11"/>
      <c r="K39" s="3713"/>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11"/>
      <c r="K40" s="3714"/>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5">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288.02839999999998</v>
      </c>
      <c r="C2" s="1871" t="s">
        <v>1650</v>
      </c>
      <c r="D2" s="1872" t="s">
        <v>1651</v>
      </c>
      <c r="E2" s="2603">
        <f>SUM(E6:E13)</f>
        <v>131.02000000000001</v>
      </c>
      <c r="F2" s="2703"/>
      <c r="G2" s="1488"/>
      <c r="H2" s="1488"/>
      <c r="I2" s="1488"/>
      <c r="J2" s="1488"/>
      <c r="K2" s="1488"/>
      <c r="L2" s="1488"/>
      <c r="M2" s="1488"/>
      <c r="N2" s="1488"/>
      <c r="O2" s="1488"/>
      <c r="P2" s="1488"/>
      <c r="Q2" s="1488"/>
      <c r="R2" s="1488"/>
      <c r="S2" s="1488"/>
    </row>
    <row r="3" spans="1:22" ht="15.75">
      <c r="A3" s="1869" t="s">
        <v>686</v>
      </c>
      <c r="B3" s="2597">
        <f ca="1">ROUND(B2*10000/E2,0)</f>
        <v>21984</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730" t="s">
        <v>1653</v>
      </c>
      <c r="C5" s="3731"/>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288.02839999999998</v>
      </c>
      <c r="C6" s="1871" t="s">
        <v>1650</v>
      </c>
      <c r="D6" s="2705"/>
      <c r="E6" s="2602">
        <f>IF(OR(A6=0,F6="否"),0,'数据-取费表'!K6+'数据-取费表'!S6)</f>
        <v>131.02000000000001</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131.02000000000001</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1665</v>
      </c>
      <c r="B4" s="355"/>
      <c r="C4" s="3693" t="s">
        <v>1666</v>
      </c>
      <c r="D4" s="3694"/>
      <c r="E4" s="3695" t="s">
        <v>1667</v>
      </c>
      <c r="F4" s="3696"/>
      <c r="G4" s="3693" t="s">
        <v>1668</v>
      </c>
      <c r="H4" s="3694"/>
      <c r="I4" s="3693" t="s">
        <v>1669</v>
      </c>
      <c r="J4" s="3694"/>
      <c r="K4" s="1888" t="s">
        <v>1670</v>
      </c>
      <c r="L4" s="2711"/>
      <c r="M4" s="2712"/>
      <c r="N4" s="2712"/>
      <c r="O4" s="2712"/>
      <c r="P4" s="3736" t="s">
        <v>1671</v>
      </c>
      <c r="Q4" s="3737"/>
      <c r="R4" s="3740" t="s">
        <v>1667</v>
      </c>
      <c r="S4" s="3741"/>
      <c r="T4" s="3740" t="s">
        <v>1668</v>
      </c>
      <c r="U4" s="3741"/>
      <c r="V4" s="3679" t="s">
        <v>1669</v>
      </c>
      <c r="W4" s="3679"/>
      <c r="X4" s="1354"/>
      <c r="Y4" s="3740" t="s">
        <v>1671</v>
      </c>
      <c r="Z4" s="3741"/>
      <c r="AA4" s="3735" t="s">
        <v>1667</v>
      </c>
      <c r="AB4" s="3735" t="s">
        <v>1668</v>
      </c>
      <c r="AC4" s="3735" t="s">
        <v>1669</v>
      </c>
    </row>
    <row r="5" spans="1:29" ht="15">
      <c r="A5" s="357"/>
      <c r="B5" s="358"/>
      <c r="C5" s="3742" t="s">
        <v>1672</v>
      </c>
      <c r="D5" s="3704"/>
      <c r="E5" s="3743" t="s">
        <v>1673</v>
      </c>
      <c r="F5" s="3706"/>
      <c r="G5" s="3742" t="s">
        <v>1674</v>
      </c>
      <c r="H5" s="3704"/>
      <c r="I5" s="3742" t="s">
        <v>1675</v>
      </c>
      <c r="J5" s="3704"/>
      <c r="K5" s="1889"/>
      <c r="L5" s="2711"/>
      <c r="M5" s="2712"/>
      <c r="N5" s="2712"/>
      <c r="O5" s="2712"/>
      <c r="P5" s="3738"/>
      <c r="Q5" s="3700"/>
      <c r="R5" s="3682"/>
      <c r="S5" s="3683"/>
      <c r="T5" s="3682"/>
      <c r="U5" s="3683"/>
      <c r="V5" s="3679"/>
      <c r="W5" s="3679"/>
      <c r="X5" s="1354"/>
      <c r="Y5" s="3682"/>
      <c r="Z5" s="3683"/>
      <c r="AA5" s="3687"/>
      <c r="AB5" s="3687"/>
      <c r="AC5" s="3687"/>
    </row>
    <row r="6" spans="1:29" ht="15.75" thickBot="1">
      <c r="A6" s="359"/>
      <c r="B6" s="360"/>
      <c r="C6" s="3707" t="s">
        <v>1676</v>
      </c>
      <c r="D6" s="3708"/>
      <c r="E6" s="3709" t="s">
        <v>1676</v>
      </c>
      <c r="F6" s="3710"/>
      <c r="G6" s="3707" t="s">
        <v>1676</v>
      </c>
      <c r="H6" s="3708"/>
      <c r="I6" s="3707" t="s">
        <v>1676</v>
      </c>
      <c r="J6" s="3708"/>
      <c r="K6" s="1889" t="s">
        <v>1677</v>
      </c>
      <c r="L6" s="2711"/>
      <c r="M6" s="2712"/>
      <c r="N6" s="2712"/>
      <c r="O6" s="2712"/>
      <c r="P6" s="3739"/>
      <c r="Q6" s="3702"/>
      <c r="R6" s="3682"/>
      <c r="S6" s="3683"/>
      <c r="T6" s="3684"/>
      <c r="U6" s="3685"/>
      <c r="V6" s="3679"/>
      <c r="W6" s="3679"/>
      <c r="X6" s="1354"/>
      <c r="Y6" s="3684"/>
      <c r="Z6" s="3685"/>
      <c r="AA6" s="3688"/>
      <c r="AB6" s="3688"/>
      <c r="AC6" s="3688"/>
    </row>
    <row r="7" spans="1:29" s="108" customFormat="1" ht="15.7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77" t="s">
        <v>1679</v>
      </c>
      <c r="Q7" s="3689"/>
      <c r="R7" s="700" t="s">
        <v>20</v>
      </c>
      <c r="S7" s="701">
        <f t="shared" ref="S7:S15" si="0">F7</f>
        <v>0</v>
      </c>
      <c r="T7" s="700" t="s">
        <v>20</v>
      </c>
      <c r="U7" s="701">
        <f t="shared" ref="U7:U15" si="1">H7</f>
        <v>0</v>
      </c>
      <c r="V7" s="700" t="s">
        <v>20</v>
      </c>
      <c r="W7" s="701">
        <f t="shared" ref="W7:W15" si="2">J7</f>
        <v>0</v>
      </c>
      <c r="X7" s="702"/>
      <c r="Y7" s="3677" t="s">
        <v>1679</v>
      </c>
      <c r="Z7" s="3676"/>
      <c r="AA7" s="703" t="e">
        <f>D7/F7</f>
        <v>#DIV/0!</v>
      </c>
      <c r="AB7" s="703" t="e">
        <f>D7/H7</f>
        <v>#DIV/0!</v>
      </c>
      <c r="AC7" s="703" t="e">
        <f>D7/J7</f>
        <v>#DIV/0!</v>
      </c>
    </row>
    <row r="8" spans="1:29" s="108"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77" t="s">
        <v>1682</v>
      </c>
      <c r="Q8" s="3676"/>
      <c r="R8" s="700" t="s">
        <v>20</v>
      </c>
      <c r="S8" s="701">
        <f t="shared" si="0"/>
        <v>100</v>
      </c>
      <c r="T8" s="700" t="s">
        <v>20</v>
      </c>
      <c r="U8" s="701">
        <f t="shared" si="1"/>
        <v>100</v>
      </c>
      <c r="V8" s="700" t="s">
        <v>20</v>
      </c>
      <c r="W8" s="701">
        <f t="shared" si="2"/>
        <v>100</v>
      </c>
      <c r="X8" s="702"/>
      <c r="Y8" s="3677" t="s">
        <v>1682</v>
      </c>
      <c r="Z8" s="3676"/>
      <c r="AA8" s="703">
        <f t="shared" ref="AA8:AA19" si="3">D8/F8</f>
        <v>1</v>
      </c>
      <c r="AB8" s="703">
        <f t="shared" ref="AB8:AB19" si="4">D8/H8</f>
        <v>1</v>
      </c>
      <c r="AC8" s="703">
        <f t="shared" ref="AC8:AC19" si="5">D8/J8</f>
        <v>1</v>
      </c>
    </row>
    <row r="9" spans="1:29" s="108"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0"/>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60"/>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60"/>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60"/>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15">
      <c r="A15" s="390" t="s">
        <v>1689</v>
      </c>
      <c r="B15" s="61" t="s">
        <v>1256</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6" t="s">
        <v>1690</v>
      </c>
      <c r="Q15" s="1351" t="str">
        <f t="shared" si="6"/>
        <v>居住社区成熟度</v>
      </c>
      <c r="R15" s="704" t="s">
        <v>18</v>
      </c>
      <c r="S15" s="705">
        <f t="shared" si="0"/>
        <v>100</v>
      </c>
      <c r="T15" s="704" t="s">
        <v>18</v>
      </c>
      <c r="U15" s="705">
        <f t="shared" si="1"/>
        <v>100</v>
      </c>
      <c r="V15" s="704" t="s">
        <v>18</v>
      </c>
      <c r="W15" s="705">
        <f t="shared" si="2"/>
        <v>100</v>
      </c>
      <c r="X15" s="1354"/>
      <c r="Y15" s="3668"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67"/>
      <c r="Q16" s="1351"/>
      <c r="R16" s="704"/>
      <c r="S16" s="705"/>
      <c r="T16" s="704"/>
      <c r="U16" s="705"/>
      <c r="V16" s="704"/>
      <c r="W16" s="705"/>
      <c r="X16" s="1354"/>
      <c r="Y16" s="3669"/>
      <c r="Z16" s="1355"/>
      <c r="AA16" s="1352">
        <v>1</v>
      </c>
      <c r="AB16" s="1352">
        <v>1</v>
      </c>
      <c r="AC16" s="1352">
        <v>1</v>
      </c>
    </row>
    <row r="17" spans="1:29" ht="15">
      <c r="A17" s="378"/>
      <c r="B17" s="401" t="s">
        <v>1258</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7"/>
      <c r="Q17" s="1351" t="str">
        <f>B17</f>
        <v>交通便捷度</v>
      </c>
      <c r="R17" s="704" t="s">
        <v>18</v>
      </c>
      <c r="S17" s="705">
        <f>F17</f>
        <v>100</v>
      </c>
      <c r="T17" s="704" t="s">
        <v>18</v>
      </c>
      <c r="U17" s="705">
        <f>H17</f>
        <v>100</v>
      </c>
      <c r="V17" s="704" t="s">
        <v>18</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67"/>
      <c r="Q18" s="1351"/>
      <c r="R18" s="704"/>
      <c r="S18" s="705"/>
      <c r="T18" s="704"/>
      <c r="U18" s="705"/>
      <c r="V18" s="704"/>
      <c r="W18" s="705"/>
      <c r="X18" s="1354"/>
      <c r="Y18" s="3669"/>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7"/>
      <c r="Q19" s="1351" t="str">
        <f>B19</f>
        <v>公共配套设施</v>
      </c>
      <c r="R19" s="704" t="s">
        <v>18</v>
      </c>
      <c r="S19" s="705">
        <f>F19</f>
        <v>100</v>
      </c>
      <c r="T19" s="704" t="s">
        <v>18</v>
      </c>
      <c r="U19" s="705">
        <f>H19</f>
        <v>100</v>
      </c>
      <c r="V19" s="704" t="s">
        <v>18</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67"/>
      <c r="Q20" s="1351"/>
      <c r="R20" s="704"/>
      <c r="S20" s="705"/>
      <c r="T20" s="704"/>
      <c r="U20" s="705"/>
      <c r="V20" s="704"/>
      <c r="W20" s="705"/>
      <c r="X20" s="1354"/>
      <c r="Y20" s="3669"/>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67"/>
      <c r="Q22" s="1351"/>
      <c r="R22" s="704"/>
      <c r="S22" s="705"/>
      <c r="T22" s="704"/>
      <c r="U22" s="705"/>
      <c r="V22" s="704"/>
      <c r="W22" s="705"/>
      <c r="X22" s="1354"/>
      <c r="Y22" s="3669"/>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7"/>
      <c r="Q23" s="1351" t="str">
        <f>B23</f>
        <v>自然及人文环境</v>
      </c>
      <c r="R23" s="704" t="s">
        <v>18</v>
      </c>
      <c r="S23" s="705">
        <f>F23</f>
        <v>100</v>
      </c>
      <c r="T23" s="704" t="s">
        <v>18</v>
      </c>
      <c r="U23" s="705">
        <f>H23</f>
        <v>100</v>
      </c>
      <c r="V23" s="704" t="s">
        <v>18</v>
      </c>
      <c r="W23" s="705">
        <f>J23</f>
        <v>100</v>
      </c>
      <c r="X23" s="1354"/>
      <c r="Y23" s="366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67"/>
      <c r="Q24" s="1351"/>
      <c r="R24" s="704"/>
      <c r="S24" s="705"/>
      <c r="T24" s="704"/>
      <c r="U24" s="705"/>
      <c r="V24" s="704"/>
      <c r="W24" s="705"/>
      <c r="X24" s="1354"/>
      <c r="Y24" s="3669"/>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6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9"/>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67"/>
      <c r="Q26" s="1351" t="str">
        <f t="shared" si="11"/>
        <v>朝向</v>
      </c>
      <c r="R26" s="704" t="s">
        <v>18</v>
      </c>
      <c r="S26" s="705">
        <f t="shared" si="12"/>
        <v>100</v>
      </c>
      <c r="T26" s="704" t="s">
        <v>18</v>
      </c>
      <c r="U26" s="705">
        <f t="shared" si="13"/>
        <v>100</v>
      </c>
      <c r="V26" s="704" t="s">
        <v>18</v>
      </c>
      <c r="W26" s="705">
        <f t="shared" si="14"/>
        <v>100</v>
      </c>
      <c r="X26" s="1354"/>
      <c r="Y26" s="3669"/>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67"/>
      <c r="Q27" s="1342">
        <f t="shared" si="11"/>
        <v>111</v>
      </c>
      <c r="R27" s="700" t="s">
        <v>18</v>
      </c>
      <c r="S27" s="701">
        <f t="shared" si="12"/>
        <v>100</v>
      </c>
      <c r="T27" s="700" t="s">
        <v>18</v>
      </c>
      <c r="U27" s="701">
        <f t="shared" si="13"/>
        <v>100</v>
      </c>
      <c r="V27" s="700" t="s">
        <v>18</v>
      </c>
      <c r="W27" s="701">
        <f t="shared" si="14"/>
        <v>100</v>
      </c>
      <c r="X27" s="702"/>
      <c r="Y27" s="366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67"/>
      <c r="Q28" s="1351">
        <f t="shared" si="11"/>
        <v>111</v>
      </c>
      <c r="R28" s="704" t="s">
        <v>18</v>
      </c>
      <c r="S28" s="705">
        <f t="shared" si="12"/>
        <v>100</v>
      </c>
      <c r="T28" s="704" t="s">
        <v>18</v>
      </c>
      <c r="U28" s="705">
        <f t="shared" si="13"/>
        <v>100</v>
      </c>
      <c r="V28" s="704" t="s">
        <v>18</v>
      </c>
      <c r="W28" s="705">
        <f t="shared" si="14"/>
        <v>100</v>
      </c>
      <c r="X28" s="1354"/>
      <c r="Y28" s="366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67"/>
      <c r="Q29" s="1351">
        <f t="shared" si="11"/>
        <v>111</v>
      </c>
      <c r="R29" s="704" t="s">
        <v>18</v>
      </c>
      <c r="S29" s="705">
        <f t="shared" si="12"/>
        <v>100</v>
      </c>
      <c r="T29" s="704" t="s">
        <v>18</v>
      </c>
      <c r="U29" s="705">
        <f t="shared" si="13"/>
        <v>100</v>
      </c>
      <c r="V29" s="704" t="s">
        <v>18</v>
      </c>
      <c r="W29" s="705">
        <f t="shared" si="14"/>
        <v>100</v>
      </c>
      <c r="X29" s="1354"/>
      <c r="Y29" s="366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67"/>
      <c r="Q30" s="1351">
        <f t="shared" si="11"/>
        <v>111</v>
      </c>
      <c r="R30" s="704" t="s">
        <v>18</v>
      </c>
      <c r="S30" s="705">
        <f t="shared" si="12"/>
        <v>100</v>
      </c>
      <c r="T30" s="704" t="s">
        <v>18</v>
      </c>
      <c r="U30" s="705">
        <f t="shared" si="13"/>
        <v>100</v>
      </c>
      <c r="V30" s="704" t="s">
        <v>18</v>
      </c>
      <c r="W30" s="705">
        <f t="shared" si="14"/>
        <v>100</v>
      </c>
      <c r="X30" s="1354"/>
      <c r="Y30" s="366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67"/>
      <c r="Q31" s="1351">
        <f t="shared" si="11"/>
        <v>111</v>
      </c>
      <c r="R31" s="704" t="s">
        <v>18</v>
      </c>
      <c r="S31" s="705">
        <f t="shared" si="12"/>
        <v>100</v>
      </c>
      <c r="T31" s="704" t="s">
        <v>18</v>
      </c>
      <c r="U31" s="705">
        <f t="shared" si="13"/>
        <v>100</v>
      </c>
      <c r="V31" s="704" t="s">
        <v>18</v>
      </c>
      <c r="W31" s="705">
        <f t="shared" si="14"/>
        <v>100</v>
      </c>
      <c r="X31" s="1354"/>
      <c r="Y31" s="3669"/>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70" t="s">
        <v>1695</v>
      </c>
      <c r="Q32" s="1351" t="str">
        <f t="shared" si="11"/>
        <v>建筑类型</v>
      </c>
      <c r="R32" s="704" t="s">
        <v>18</v>
      </c>
      <c r="S32" s="705">
        <f t="shared" si="12"/>
        <v>100</v>
      </c>
      <c r="T32" s="704" t="s">
        <v>18</v>
      </c>
      <c r="U32" s="705">
        <f t="shared" si="13"/>
        <v>100</v>
      </c>
      <c r="V32" s="704" t="s">
        <v>18</v>
      </c>
      <c r="W32" s="705">
        <f t="shared" si="14"/>
        <v>100</v>
      </c>
      <c r="X32" s="1354"/>
      <c r="Y32" s="3673"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671"/>
      <c r="Q33" s="706" t="str">
        <f t="shared" si="11"/>
        <v>项目建筑规模</v>
      </c>
      <c r="R33" s="707" t="s">
        <v>18</v>
      </c>
      <c r="S33" s="708" t="e">
        <f t="shared" si="12"/>
        <v>#N/A</v>
      </c>
      <c r="T33" s="707" t="s">
        <v>18</v>
      </c>
      <c r="U33" s="708" t="e">
        <f t="shared" si="13"/>
        <v>#N/A</v>
      </c>
      <c r="V33" s="707" t="s">
        <v>18</v>
      </c>
      <c r="W33" s="708" t="e">
        <f t="shared" si="14"/>
        <v>#N/A</v>
      </c>
      <c r="X33" s="709"/>
      <c r="Y33" s="3673"/>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671"/>
      <c r="Q34" s="1351" t="str">
        <f t="shared" si="11"/>
        <v>建筑结构</v>
      </c>
      <c r="R34" s="704" t="s">
        <v>18</v>
      </c>
      <c r="S34" s="705">
        <f t="shared" si="12"/>
        <v>100</v>
      </c>
      <c r="T34" s="704" t="s">
        <v>18</v>
      </c>
      <c r="U34" s="705">
        <f t="shared" si="13"/>
        <v>100</v>
      </c>
      <c r="V34" s="704" t="s">
        <v>18</v>
      </c>
      <c r="W34" s="705">
        <f t="shared" si="14"/>
        <v>100</v>
      </c>
      <c r="X34" s="1354"/>
      <c r="Y34" s="3673"/>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671"/>
      <c r="Q35" s="1351" t="str">
        <f t="shared" si="11"/>
        <v>建筑品质</v>
      </c>
      <c r="R35" s="704" t="s">
        <v>18</v>
      </c>
      <c r="S35" s="705">
        <f t="shared" si="12"/>
        <v>100</v>
      </c>
      <c r="T35" s="704" t="s">
        <v>18</v>
      </c>
      <c r="U35" s="705">
        <f t="shared" si="13"/>
        <v>100</v>
      </c>
      <c r="V35" s="704" t="s">
        <v>18</v>
      </c>
      <c r="W35" s="705">
        <f t="shared" si="14"/>
        <v>100</v>
      </c>
      <c r="X35" s="1354"/>
      <c r="Y35" s="3673"/>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671"/>
      <c r="Q36" s="1351" t="str">
        <f t="shared" si="11"/>
        <v>公共部分装修</v>
      </c>
      <c r="R36" s="704" t="s">
        <v>18</v>
      </c>
      <c r="S36" s="705">
        <f t="shared" si="12"/>
        <v>100</v>
      </c>
      <c r="T36" s="704" t="s">
        <v>18</v>
      </c>
      <c r="U36" s="705">
        <f t="shared" si="13"/>
        <v>100</v>
      </c>
      <c r="V36" s="704" t="s">
        <v>18</v>
      </c>
      <c r="W36" s="705">
        <f t="shared" si="14"/>
        <v>100</v>
      </c>
      <c r="X36" s="1354"/>
      <c r="Y36" s="3673"/>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1"/>
      <c r="Q37" s="1342" t="str">
        <f t="shared" si="11"/>
        <v>成新度</v>
      </c>
      <c r="R37" s="700" t="s">
        <v>18</v>
      </c>
      <c r="S37" s="701" t="e">
        <f t="shared" si="12"/>
        <v>#N/A</v>
      </c>
      <c r="T37" s="700" t="s">
        <v>18</v>
      </c>
      <c r="U37" s="701" t="e">
        <f t="shared" si="13"/>
        <v>#N/A</v>
      </c>
      <c r="V37" s="700" t="s">
        <v>18</v>
      </c>
      <c r="W37" s="701" t="e">
        <f t="shared" si="14"/>
        <v>#N/A</v>
      </c>
      <c r="X37" s="702"/>
      <c r="Y37" s="3673"/>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671" t="s">
        <v>1695</v>
      </c>
      <c r="Q38" s="1351" t="str">
        <f t="shared" si="11"/>
        <v>物业管理</v>
      </c>
      <c r="R38" s="704" t="s">
        <v>18</v>
      </c>
      <c r="S38" s="705">
        <f t="shared" si="12"/>
        <v>100</v>
      </c>
      <c r="T38" s="704" t="s">
        <v>18</v>
      </c>
      <c r="U38" s="705">
        <f t="shared" si="13"/>
        <v>100</v>
      </c>
      <c r="V38" s="704" t="s">
        <v>18</v>
      </c>
      <c r="W38" s="705">
        <f t="shared" si="14"/>
        <v>100</v>
      </c>
      <c r="X38" s="1354"/>
      <c r="Y38" s="3673"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671"/>
      <c r="Q39" s="1351" t="str">
        <f t="shared" si="11"/>
        <v>市政基础设施</v>
      </c>
      <c r="R39" s="704" t="s">
        <v>18</v>
      </c>
      <c r="S39" s="705">
        <f t="shared" si="12"/>
        <v>100</v>
      </c>
      <c r="T39" s="704" t="s">
        <v>18</v>
      </c>
      <c r="U39" s="705">
        <f t="shared" si="13"/>
        <v>100</v>
      </c>
      <c r="V39" s="704" t="s">
        <v>18</v>
      </c>
      <c r="W39" s="705">
        <f t="shared" si="14"/>
        <v>100</v>
      </c>
      <c r="X39" s="1354"/>
      <c r="Y39" s="3673"/>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671"/>
      <c r="Q40" s="1351" t="str">
        <f t="shared" si="11"/>
        <v>房型</v>
      </c>
      <c r="R40" s="704" t="s">
        <v>18</v>
      </c>
      <c r="S40" s="705">
        <f t="shared" si="12"/>
        <v>100</v>
      </c>
      <c r="T40" s="704" t="s">
        <v>18</v>
      </c>
      <c r="U40" s="705">
        <f t="shared" si="13"/>
        <v>100</v>
      </c>
      <c r="V40" s="704" t="s">
        <v>18</v>
      </c>
      <c r="W40" s="705">
        <f t="shared" si="14"/>
        <v>100</v>
      </c>
      <c r="X40" s="1354"/>
      <c r="Y40" s="3673"/>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671"/>
      <c r="Q41" s="706" t="str">
        <f t="shared" si="11"/>
        <v>单套/主力户型建筑面积</v>
      </c>
      <c r="R41" s="707" t="s">
        <v>18</v>
      </c>
      <c r="S41" s="708">
        <f t="shared" si="12"/>
        <v>100</v>
      </c>
      <c r="T41" s="707" t="s">
        <v>18</v>
      </c>
      <c r="U41" s="708">
        <f t="shared" si="13"/>
        <v>100</v>
      </c>
      <c r="V41" s="707" t="s">
        <v>18</v>
      </c>
      <c r="W41" s="708">
        <f t="shared" si="14"/>
        <v>100</v>
      </c>
      <c r="X41" s="709"/>
      <c r="Y41" s="3673"/>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671"/>
      <c r="Q42" s="1351" t="str">
        <f t="shared" si="11"/>
        <v>内部装修</v>
      </c>
      <c r="R42" s="704" t="s">
        <v>18</v>
      </c>
      <c r="S42" s="705">
        <f t="shared" si="12"/>
        <v>100</v>
      </c>
      <c r="T42" s="704" t="s">
        <v>18</v>
      </c>
      <c r="U42" s="705">
        <f t="shared" si="13"/>
        <v>100</v>
      </c>
      <c r="V42" s="704" t="s">
        <v>18</v>
      </c>
      <c r="W42" s="705">
        <f t="shared" si="14"/>
        <v>100</v>
      </c>
      <c r="X42" s="1354"/>
      <c r="Y42" s="3673"/>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671"/>
      <c r="Q43" s="1351" t="str">
        <f t="shared" si="11"/>
        <v>内部装修维护情况</v>
      </c>
      <c r="R43" s="704" t="s">
        <v>18</v>
      </c>
      <c r="S43" s="705">
        <f t="shared" si="12"/>
        <v>100</v>
      </c>
      <c r="T43" s="704" t="s">
        <v>18</v>
      </c>
      <c r="U43" s="705">
        <f t="shared" si="13"/>
        <v>100</v>
      </c>
      <c r="V43" s="704" t="s">
        <v>18</v>
      </c>
      <c r="W43" s="705">
        <f t="shared" si="14"/>
        <v>100</v>
      </c>
      <c r="X43" s="1354"/>
      <c r="Y43" s="367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671"/>
      <c r="Q44" s="1342">
        <f t="shared" si="11"/>
        <v>111</v>
      </c>
      <c r="R44" s="700" t="s">
        <v>18</v>
      </c>
      <c r="S44" s="701">
        <f t="shared" si="12"/>
        <v>100</v>
      </c>
      <c r="T44" s="700" t="s">
        <v>18</v>
      </c>
      <c r="U44" s="701">
        <f t="shared" si="13"/>
        <v>100</v>
      </c>
      <c r="V44" s="700" t="s">
        <v>18</v>
      </c>
      <c r="W44" s="701">
        <f t="shared" si="14"/>
        <v>100</v>
      </c>
      <c r="X44" s="702"/>
      <c r="Y44" s="367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671"/>
      <c r="Q45" s="1351">
        <f t="shared" si="11"/>
        <v>111</v>
      </c>
      <c r="R45" s="704" t="s">
        <v>18</v>
      </c>
      <c r="S45" s="705">
        <f t="shared" si="12"/>
        <v>100</v>
      </c>
      <c r="T45" s="704" t="s">
        <v>18</v>
      </c>
      <c r="U45" s="705">
        <f t="shared" si="13"/>
        <v>100</v>
      </c>
      <c r="V45" s="704" t="s">
        <v>18</v>
      </c>
      <c r="W45" s="705">
        <f t="shared" si="14"/>
        <v>100</v>
      </c>
      <c r="X45" s="1354"/>
      <c r="Y45" s="367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672"/>
      <c r="Q46" s="1351">
        <f t="shared" si="11"/>
        <v>111</v>
      </c>
      <c r="R46" s="704" t="s">
        <v>17</v>
      </c>
      <c r="S46" s="705">
        <f t="shared" si="12"/>
        <v>100</v>
      </c>
      <c r="T46" s="704" t="s">
        <v>17</v>
      </c>
      <c r="U46" s="705">
        <f t="shared" si="13"/>
        <v>100</v>
      </c>
      <c r="V46" s="704" t="s">
        <v>17</v>
      </c>
      <c r="W46" s="705">
        <f t="shared" si="14"/>
        <v>100</v>
      </c>
      <c r="X46" s="1354"/>
      <c r="Y46" s="3674"/>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0"/>
      <c r="M47" s="2721"/>
      <c r="N47" s="2712"/>
      <c r="O47" s="2721"/>
      <c r="P47" s="3661" t="str">
        <f>A47</f>
        <v>成交单价（元/平方米）</v>
      </c>
      <c r="Q47" s="3661"/>
      <c r="R47" s="3662">
        <f>E47</f>
        <v>0</v>
      </c>
      <c r="S47" s="3662"/>
      <c r="T47" s="3662">
        <f>G47</f>
        <v>0</v>
      </c>
      <c r="U47" s="3662"/>
      <c r="V47" s="3662">
        <f>I47</f>
        <v>0</v>
      </c>
      <c r="W47" s="3662"/>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0"/>
      <c r="M49" s="2721"/>
      <c r="N49" s="2721"/>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1715</v>
      </c>
      <c r="B60" s="464"/>
      <c r="C60" s="465"/>
      <c r="D60" s="466"/>
      <c r="E60" s="466"/>
      <c r="F60" s="466"/>
      <c r="G60" s="466"/>
      <c r="H60" s="466"/>
      <c r="I60" s="466"/>
      <c r="J60" s="466"/>
      <c r="K60" s="466"/>
      <c r="L60" s="466"/>
      <c r="M60" s="467"/>
      <c r="N60" s="466"/>
      <c r="O60" s="467"/>
      <c r="P60" s="1919"/>
      <c r="Q60" s="452"/>
    </row>
    <row r="61" spans="1:29" s="108" customFormat="1" ht="15">
      <c r="A61" s="469" t="s">
        <v>1716</v>
      </c>
      <c r="B61" s="458"/>
      <c r="C61" s="470" t="s">
        <v>1717</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1733</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1734</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131.02000000000001</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79" t="s">
        <v>1771</v>
      </c>
      <c r="AC4" s="3735" t="s">
        <v>1772</v>
      </c>
    </row>
    <row r="5" spans="1:29" ht="15">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79"/>
      <c r="AC5" s="3687"/>
    </row>
    <row r="6" spans="1:29" ht="15.7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79"/>
      <c r="AC6" s="3688"/>
    </row>
    <row r="7" spans="1:29" s="108" customFormat="1" ht="15.7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46" si="3">D8/F8</f>
        <v>1</v>
      </c>
      <c r="AB8" s="703">
        <f t="shared" ref="AB8:AB46" si="4">D8/H8</f>
        <v>1</v>
      </c>
      <c r="AC8" s="703">
        <f t="shared" ref="AC8:AC46" si="5">D8/J8</f>
        <v>1</v>
      </c>
    </row>
    <row r="9" spans="1:29" s="108" customFormat="1">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0"/>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15">
      <c r="A15" s="390" t="s">
        <v>1689</v>
      </c>
      <c r="B15" s="61" t="s">
        <v>1776</v>
      </c>
      <c r="C15" s="1895"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6" t="s">
        <v>1690</v>
      </c>
      <c r="Q15" s="1351" t="str">
        <f t="shared" si="6"/>
        <v>商业繁华度</v>
      </c>
      <c r="R15" s="704" t="s">
        <v>14</v>
      </c>
      <c r="S15" s="705">
        <f t="shared" si="0"/>
        <v>100</v>
      </c>
      <c r="T15" s="704" t="s">
        <v>14</v>
      </c>
      <c r="U15" s="705">
        <f t="shared" si="1"/>
        <v>100</v>
      </c>
      <c r="V15" s="704" t="s">
        <v>14</v>
      </c>
      <c r="W15" s="705">
        <f t="shared" si="2"/>
        <v>100</v>
      </c>
      <c r="X15" s="1354"/>
      <c r="Y15" s="3668"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667"/>
      <c r="Q16" s="1351"/>
      <c r="R16" s="704"/>
      <c r="S16" s="705"/>
      <c r="T16" s="704"/>
      <c r="U16" s="705"/>
      <c r="V16" s="704"/>
      <c r="W16" s="705"/>
      <c r="X16" s="1354"/>
      <c r="Y16" s="3669"/>
      <c r="Z16" s="1355"/>
      <c r="AA16" s="1352">
        <v>1</v>
      </c>
      <c r="AB16" s="1352">
        <v>1</v>
      </c>
      <c r="AC16" s="1352">
        <v>1</v>
      </c>
    </row>
    <row r="17" spans="1:29" ht="15">
      <c r="A17" s="378"/>
      <c r="B17" s="401" t="s">
        <v>1258</v>
      </c>
      <c r="C17" s="1899"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7"/>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667"/>
      <c r="Q18" s="1351"/>
      <c r="R18" s="704"/>
      <c r="S18" s="705"/>
      <c r="T18" s="704"/>
      <c r="U18" s="705"/>
      <c r="V18" s="704"/>
      <c r="W18" s="705"/>
      <c r="X18" s="1354"/>
      <c r="Y18" s="3669"/>
      <c r="Z18" s="1355"/>
      <c r="AA18" s="1352">
        <v>1</v>
      </c>
      <c r="AB18" s="1352">
        <v>1</v>
      </c>
      <c r="AC18" s="1352">
        <v>1</v>
      </c>
    </row>
    <row r="19" spans="1:29" ht="15">
      <c r="A19" s="378"/>
      <c r="B19" s="401" t="s">
        <v>1777</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7"/>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667"/>
      <c r="Q20" s="1351"/>
      <c r="R20" s="704"/>
      <c r="S20" s="705"/>
      <c r="T20" s="704"/>
      <c r="U20" s="705"/>
      <c r="V20" s="704"/>
      <c r="W20" s="705"/>
      <c r="X20" s="1354"/>
      <c r="Y20" s="3669"/>
      <c r="Z20" s="1355"/>
      <c r="AA20" s="1352">
        <v>1</v>
      </c>
      <c r="AB20" s="1352">
        <v>1</v>
      </c>
      <c r="AC20" s="1352">
        <v>1</v>
      </c>
    </row>
    <row r="21" spans="1:29" ht="15">
      <c r="A21" s="378"/>
      <c r="B21" s="1130" t="s">
        <v>1778</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667"/>
      <c r="Q22" s="1351"/>
      <c r="R22" s="704"/>
      <c r="S22" s="705"/>
      <c r="T22" s="704"/>
      <c r="U22" s="705"/>
      <c r="V22" s="704"/>
      <c r="W22" s="705"/>
      <c r="X22" s="1354"/>
      <c r="Y22" s="3669"/>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7"/>
      <c r="Q23" s="1351" t="str">
        <f>B23</f>
        <v>自然及人文环境</v>
      </c>
      <c r="R23" s="704" t="s">
        <v>14</v>
      </c>
      <c r="S23" s="705">
        <f>F23</f>
        <v>100</v>
      </c>
      <c r="T23" s="704" t="s">
        <v>14</v>
      </c>
      <c r="U23" s="705">
        <f>H23</f>
        <v>100</v>
      </c>
      <c r="V23" s="704" t="s">
        <v>14</v>
      </c>
      <c r="W23" s="705">
        <f>J23</f>
        <v>100</v>
      </c>
      <c r="X23" s="1354"/>
      <c r="Y23" s="366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667"/>
      <c r="Q24" s="1351"/>
      <c r="R24" s="704"/>
      <c r="S24" s="705"/>
      <c r="T24" s="704"/>
      <c r="U24" s="705"/>
      <c r="V24" s="704"/>
      <c r="W24" s="705"/>
      <c r="X24" s="1354"/>
      <c r="Y24" s="3669"/>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7"/>
      <c r="Q25" s="1351" t="str">
        <f t="shared" ref="Q25:Q46" si="11">B25</f>
        <v>临街状况</v>
      </c>
      <c r="R25" s="704" t="s">
        <v>14</v>
      </c>
      <c r="S25" s="705">
        <f>F25</f>
        <v>100</v>
      </c>
      <c r="T25" s="704" t="s">
        <v>14</v>
      </c>
      <c r="U25" s="705">
        <f>H25</f>
        <v>100</v>
      </c>
      <c r="V25" s="704" t="s">
        <v>14</v>
      </c>
      <c r="W25" s="705">
        <f>J25</f>
        <v>100</v>
      </c>
      <c r="X25" s="1354"/>
      <c r="Y25" s="3669"/>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7"/>
      <c r="Q26" s="1351" t="str">
        <f t="shared" si="11"/>
        <v>平面位置/可视性</v>
      </c>
      <c r="R26" s="704" t="s">
        <v>14</v>
      </c>
      <c r="S26" s="705">
        <f>F26</f>
        <v>100</v>
      </c>
      <c r="T26" s="704" t="s">
        <v>14</v>
      </c>
      <c r="U26" s="705">
        <f>H26</f>
        <v>100</v>
      </c>
      <c r="V26" s="704" t="s">
        <v>14</v>
      </c>
      <c r="W26" s="705">
        <f>J26</f>
        <v>100</v>
      </c>
      <c r="X26" s="1354"/>
      <c r="Y26" s="3669"/>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667"/>
      <c r="Q27" s="1342" t="str">
        <f t="shared" si="11"/>
        <v>人流量</v>
      </c>
      <c r="R27" s="700" t="s">
        <v>14</v>
      </c>
      <c r="S27" s="701">
        <f>F27</f>
        <v>100</v>
      </c>
      <c r="T27" s="700" t="s">
        <v>14</v>
      </c>
      <c r="U27" s="701">
        <f>H27</f>
        <v>100</v>
      </c>
      <c r="V27" s="700" t="s">
        <v>14</v>
      </c>
      <c r="W27" s="701">
        <f>J27</f>
        <v>100</v>
      </c>
      <c r="X27" s="702"/>
      <c r="Y27" s="3669"/>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7"/>
      <c r="Q29" s="1351">
        <f t="shared" si="11"/>
        <v>111</v>
      </c>
      <c r="R29" s="704" t="s">
        <v>14</v>
      </c>
      <c r="S29" s="705">
        <f t="shared" si="12"/>
        <v>100</v>
      </c>
      <c r="T29" s="704" t="s">
        <v>14</v>
      </c>
      <c r="U29" s="705">
        <f t="shared" si="13"/>
        <v>100</v>
      </c>
      <c r="V29" s="704" t="s">
        <v>14</v>
      </c>
      <c r="W29" s="705">
        <f t="shared" si="14"/>
        <v>100</v>
      </c>
      <c r="X29" s="1354"/>
      <c r="Y29" s="366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7"/>
      <c r="Q30" s="1351">
        <f t="shared" si="11"/>
        <v>111</v>
      </c>
      <c r="R30" s="704" t="s">
        <v>14</v>
      </c>
      <c r="S30" s="705">
        <f t="shared" si="12"/>
        <v>100</v>
      </c>
      <c r="T30" s="704" t="s">
        <v>14</v>
      </c>
      <c r="U30" s="705">
        <f t="shared" si="13"/>
        <v>100</v>
      </c>
      <c r="V30" s="704" t="s">
        <v>14</v>
      </c>
      <c r="W30" s="705">
        <f t="shared" si="14"/>
        <v>100</v>
      </c>
      <c r="X30" s="1354"/>
      <c r="Y30" s="366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7"/>
      <c r="Q31" s="1351">
        <f t="shared" si="11"/>
        <v>111</v>
      </c>
      <c r="R31" s="704" t="s">
        <v>14</v>
      </c>
      <c r="S31" s="705">
        <f t="shared" si="12"/>
        <v>100</v>
      </c>
      <c r="T31" s="704" t="s">
        <v>14</v>
      </c>
      <c r="U31" s="705">
        <f t="shared" si="13"/>
        <v>100</v>
      </c>
      <c r="V31" s="704" t="s">
        <v>14</v>
      </c>
      <c r="W31" s="705">
        <f t="shared" si="14"/>
        <v>100</v>
      </c>
      <c r="X31" s="1354"/>
      <c r="Y31" s="3669"/>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670" t="s">
        <v>1695</v>
      </c>
      <c r="Q32" s="1351" t="str">
        <f t="shared" si="11"/>
        <v>商业类型</v>
      </c>
      <c r="R32" s="704" t="s">
        <v>14</v>
      </c>
      <c r="S32" s="705">
        <f t="shared" si="12"/>
        <v>100</v>
      </c>
      <c r="T32" s="704" t="s">
        <v>14</v>
      </c>
      <c r="U32" s="705">
        <f t="shared" si="13"/>
        <v>100</v>
      </c>
      <c r="V32" s="704" t="s">
        <v>14</v>
      </c>
      <c r="W32" s="705">
        <f t="shared" si="14"/>
        <v>100</v>
      </c>
      <c r="X32" s="1354"/>
      <c r="Y32" s="3673"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1"/>
      <c r="Q33" s="706" t="str">
        <f t="shared" si="11"/>
        <v>项目建筑规模</v>
      </c>
      <c r="R33" s="707" t="s">
        <v>14</v>
      </c>
      <c r="S33" s="708" t="e">
        <f t="shared" si="12"/>
        <v>#N/A</v>
      </c>
      <c r="T33" s="707" t="s">
        <v>14</v>
      </c>
      <c r="U33" s="708" t="e">
        <f t="shared" si="13"/>
        <v>#N/A</v>
      </c>
      <c r="V33" s="707" t="s">
        <v>14</v>
      </c>
      <c r="W33" s="708" t="e">
        <f t="shared" si="14"/>
        <v>#N/A</v>
      </c>
      <c r="X33" s="709"/>
      <c r="Y33" s="3673"/>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671"/>
      <c r="Q34" s="1351" t="str">
        <f t="shared" si="11"/>
        <v>建筑结构</v>
      </c>
      <c r="R34" s="704" t="s">
        <v>14</v>
      </c>
      <c r="S34" s="705">
        <f t="shared" si="12"/>
        <v>100</v>
      </c>
      <c r="T34" s="704" t="s">
        <v>14</v>
      </c>
      <c r="U34" s="705">
        <f t="shared" si="13"/>
        <v>100</v>
      </c>
      <c r="V34" s="704" t="s">
        <v>14</v>
      </c>
      <c r="W34" s="705">
        <f t="shared" si="14"/>
        <v>100</v>
      </c>
      <c r="X34" s="1354"/>
      <c r="Y34" s="3673"/>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671"/>
      <c r="Q35" s="1351" t="str">
        <f t="shared" si="11"/>
        <v>公共部分装修</v>
      </c>
      <c r="R35" s="704" t="s">
        <v>14</v>
      </c>
      <c r="S35" s="705">
        <f t="shared" si="12"/>
        <v>100</v>
      </c>
      <c r="T35" s="704" t="s">
        <v>14</v>
      </c>
      <c r="U35" s="705">
        <f t="shared" si="13"/>
        <v>100</v>
      </c>
      <c r="V35" s="704" t="s">
        <v>14</v>
      </c>
      <c r="W35" s="705">
        <f t="shared" si="14"/>
        <v>100</v>
      </c>
      <c r="X35" s="1354"/>
      <c r="Y35" s="3673"/>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1"/>
      <c r="Q36" s="1351" t="str">
        <f t="shared" si="11"/>
        <v>成新度</v>
      </c>
      <c r="R36" s="704" t="s">
        <v>14</v>
      </c>
      <c r="S36" s="705" t="e">
        <f t="shared" si="12"/>
        <v>#N/A</v>
      </c>
      <c r="T36" s="704" t="s">
        <v>14</v>
      </c>
      <c r="U36" s="705" t="e">
        <f t="shared" si="13"/>
        <v>#N/A</v>
      </c>
      <c r="V36" s="704" t="s">
        <v>14</v>
      </c>
      <c r="W36" s="705" t="e">
        <f t="shared" si="14"/>
        <v>#N/A</v>
      </c>
      <c r="X36" s="1354"/>
      <c r="Y36" s="3673"/>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671"/>
      <c r="Q37" s="1342" t="str">
        <f t="shared" si="11"/>
        <v>市政基础设施</v>
      </c>
      <c r="R37" s="700" t="s">
        <v>14</v>
      </c>
      <c r="S37" s="701">
        <f t="shared" si="12"/>
        <v>100</v>
      </c>
      <c r="T37" s="700" t="s">
        <v>14</v>
      </c>
      <c r="U37" s="701">
        <f t="shared" si="13"/>
        <v>100</v>
      </c>
      <c r="V37" s="700" t="s">
        <v>14</v>
      </c>
      <c r="W37" s="701">
        <f t="shared" si="14"/>
        <v>100</v>
      </c>
      <c r="X37" s="702"/>
      <c r="Y37" s="3673"/>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671" t="s">
        <v>1695</v>
      </c>
      <c r="Q38" s="1351" t="str">
        <f t="shared" si="11"/>
        <v>业态</v>
      </c>
      <c r="R38" s="704" t="s">
        <v>14</v>
      </c>
      <c r="S38" s="705">
        <f t="shared" si="12"/>
        <v>100</v>
      </c>
      <c r="T38" s="704" t="s">
        <v>14</v>
      </c>
      <c r="U38" s="705">
        <f t="shared" si="13"/>
        <v>100</v>
      </c>
      <c r="V38" s="704" t="s">
        <v>14</v>
      </c>
      <c r="W38" s="705">
        <f t="shared" si="14"/>
        <v>100</v>
      </c>
      <c r="X38" s="1354"/>
      <c r="Y38" s="3673"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671"/>
      <c r="Q39" s="1351" t="str">
        <f t="shared" si="11"/>
        <v>层高</v>
      </c>
      <c r="R39" s="704" t="s">
        <v>14</v>
      </c>
      <c r="S39" s="705">
        <f t="shared" si="12"/>
        <v>100</v>
      </c>
      <c r="T39" s="704" t="s">
        <v>14</v>
      </c>
      <c r="U39" s="705">
        <f t="shared" si="13"/>
        <v>100</v>
      </c>
      <c r="V39" s="704" t="s">
        <v>14</v>
      </c>
      <c r="W39" s="705">
        <f t="shared" si="14"/>
        <v>100</v>
      </c>
      <c r="X39" s="1354"/>
      <c r="Y39" s="3673"/>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1"/>
      <c r="Q40" s="1351" t="str">
        <f t="shared" si="11"/>
        <v>单套建筑面积</v>
      </c>
      <c r="R40" s="704" t="s">
        <v>14</v>
      </c>
      <c r="S40" s="705">
        <f t="shared" si="12"/>
        <v>100</v>
      </c>
      <c r="T40" s="704" t="s">
        <v>14</v>
      </c>
      <c r="U40" s="705">
        <f t="shared" si="13"/>
        <v>100</v>
      </c>
      <c r="V40" s="704" t="s">
        <v>14</v>
      </c>
      <c r="W40" s="705">
        <f t="shared" si="14"/>
        <v>100</v>
      </c>
      <c r="X40" s="1354"/>
      <c r="Y40" s="3673"/>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1"/>
      <c r="Q41" s="706" t="str">
        <f t="shared" si="11"/>
        <v>进深比</v>
      </c>
      <c r="R41" s="707" t="s">
        <v>14</v>
      </c>
      <c r="S41" s="708">
        <f t="shared" si="12"/>
        <v>100</v>
      </c>
      <c r="T41" s="707" t="s">
        <v>14</v>
      </c>
      <c r="U41" s="708">
        <f t="shared" si="13"/>
        <v>100</v>
      </c>
      <c r="V41" s="707" t="s">
        <v>14</v>
      </c>
      <c r="W41" s="708">
        <f t="shared" si="14"/>
        <v>100</v>
      </c>
      <c r="X41" s="709"/>
      <c r="Y41" s="3673"/>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671"/>
      <c r="Q42" s="1351" t="str">
        <f t="shared" si="11"/>
        <v>内部装修</v>
      </c>
      <c r="R42" s="704" t="s">
        <v>14</v>
      </c>
      <c r="S42" s="705">
        <f t="shared" si="12"/>
        <v>100</v>
      </c>
      <c r="T42" s="704" t="s">
        <v>14</v>
      </c>
      <c r="U42" s="705">
        <f t="shared" si="13"/>
        <v>100</v>
      </c>
      <c r="V42" s="704" t="s">
        <v>14</v>
      </c>
      <c r="W42" s="705">
        <f t="shared" si="14"/>
        <v>100</v>
      </c>
      <c r="X42" s="1354"/>
      <c r="Y42" s="3673"/>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671"/>
      <c r="Q43" s="1351" t="str">
        <f t="shared" si="11"/>
        <v>内部装修维护情况</v>
      </c>
      <c r="R43" s="704" t="s">
        <v>14</v>
      </c>
      <c r="S43" s="705">
        <f t="shared" si="12"/>
        <v>100</v>
      </c>
      <c r="T43" s="704" t="s">
        <v>14</v>
      </c>
      <c r="U43" s="705">
        <f t="shared" si="13"/>
        <v>100</v>
      </c>
      <c r="V43" s="704" t="s">
        <v>14</v>
      </c>
      <c r="W43" s="705">
        <f t="shared" si="14"/>
        <v>100</v>
      </c>
      <c r="X43" s="1354"/>
      <c r="Y43" s="367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1"/>
      <c r="Q44" s="1342">
        <f t="shared" si="11"/>
        <v>111</v>
      </c>
      <c r="R44" s="700" t="s">
        <v>14</v>
      </c>
      <c r="S44" s="701">
        <f t="shared" si="12"/>
        <v>100</v>
      </c>
      <c r="T44" s="700" t="s">
        <v>14</v>
      </c>
      <c r="U44" s="701">
        <f t="shared" si="13"/>
        <v>100</v>
      </c>
      <c r="V44" s="700" t="s">
        <v>14</v>
      </c>
      <c r="W44" s="701">
        <f t="shared" si="14"/>
        <v>100</v>
      </c>
      <c r="X44" s="702"/>
      <c r="Y44" s="367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1"/>
      <c r="Q45" s="1351">
        <f t="shared" si="11"/>
        <v>111</v>
      </c>
      <c r="R45" s="704" t="s">
        <v>14</v>
      </c>
      <c r="S45" s="705">
        <f t="shared" si="12"/>
        <v>100</v>
      </c>
      <c r="T45" s="704" t="s">
        <v>14</v>
      </c>
      <c r="U45" s="705">
        <f t="shared" si="13"/>
        <v>100</v>
      </c>
      <c r="V45" s="704" t="s">
        <v>14</v>
      </c>
      <c r="W45" s="705">
        <f t="shared" si="14"/>
        <v>100</v>
      </c>
      <c r="X45" s="1354"/>
      <c r="Y45" s="367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2"/>
      <c r="Q46" s="1351">
        <f t="shared" si="11"/>
        <v>111</v>
      </c>
      <c r="R46" s="704" t="s">
        <v>14</v>
      </c>
      <c r="S46" s="705">
        <f t="shared" si="12"/>
        <v>100</v>
      </c>
      <c r="T46" s="704" t="s">
        <v>14</v>
      </c>
      <c r="U46" s="705">
        <f t="shared" si="13"/>
        <v>100</v>
      </c>
      <c r="V46" s="704" t="s">
        <v>14</v>
      </c>
      <c r="W46" s="705">
        <f t="shared" si="14"/>
        <v>100</v>
      </c>
      <c r="X46" s="1354"/>
      <c r="Y46" s="3674"/>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61" t="str">
        <f>A47</f>
        <v>成交单价（元/平方米）</v>
      </c>
      <c r="Q47" s="3661"/>
      <c r="R47" s="3679">
        <f>E47</f>
        <v>0</v>
      </c>
      <c r="S47" s="3679"/>
      <c r="T47" s="3679">
        <f>G47</f>
        <v>0</v>
      </c>
      <c r="U47" s="3679"/>
      <c r="V47" s="3679">
        <f>I47</f>
        <v>0</v>
      </c>
      <c r="W47" s="3679"/>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80" zoomScaleNormal="70" zoomScaleSheetLayoutView="80" workbookViewId="0">
      <selection activeCell="G37" sqref="G3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t="s">
        <v>21</v>
      </c>
      <c r="E1" s="3429" t="s">
        <v>3406</v>
      </c>
      <c r="F1" s="1878" t="s">
        <v>3407</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6.1600000000000002E-2</v>
      </c>
      <c r="C2" s="1880" t="s">
        <v>43</v>
      </c>
      <c r="D2" s="1114">
        <f ca="1">IF(E1="项目模式",SUMIF(INDIRECT("'"&amp;F2&amp;"'"&amp;"!A:A"),"承租人权益价值",INDIRECT("'"&amp;F2&amp;"'"&amp;"!c:c")),SUMIF(INDIRECT("'"&amp;F2&amp;"'"&amp;"!A:A"),"承租人权益价值（单套）",INDIRECT("'"&amp;F2&amp;"'"&amp;"!c:c")))</f>
        <v>-288.85219999999998</v>
      </c>
      <c r="E2" s="1881" t="s">
        <v>1462</v>
      </c>
      <c r="F2" s="1882" t="s">
        <v>3403</v>
      </c>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4.7</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693" t="s">
        <v>1769</v>
      </c>
      <c r="D4" s="3694"/>
      <c r="E4" s="3695" t="s">
        <v>1770</v>
      </c>
      <c r="F4" s="3696"/>
      <c r="G4" s="3693" t="s">
        <v>1771</v>
      </c>
      <c r="H4" s="3694"/>
      <c r="I4" s="3693" t="s">
        <v>1772</v>
      </c>
      <c r="J4" s="3694"/>
      <c r="K4" s="558" t="s">
        <v>1773</v>
      </c>
      <c r="L4" s="2711"/>
      <c r="M4" s="2712"/>
      <c r="N4" s="2712"/>
      <c r="O4" s="2712"/>
      <c r="P4" s="3697" t="s">
        <v>1774</v>
      </c>
      <c r="Q4" s="3698"/>
      <c r="R4" s="3680" t="s">
        <v>1770</v>
      </c>
      <c r="S4" s="3681"/>
      <c r="T4" s="3680" t="s">
        <v>1771</v>
      </c>
      <c r="U4" s="3681"/>
      <c r="V4" s="3678" t="s">
        <v>1772</v>
      </c>
      <c r="W4" s="3678"/>
      <c r="X4" s="1957"/>
      <c r="Y4" s="3680" t="s">
        <v>1774</v>
      </c>
      <c r="Z4" s="3681"/>
      <c r="AA4" s="3686" t="s">
        <v>1770</v>
      </c>
      <c r="AB4" s="3686" t="s">
        <v>1771</v>
      </c>
      <c r="AC4" s="3690" t="s">
        <v>1772</v>
      </c>
    </row>
    <row r="5" spans="1:29" ht="13.9" customHeight="1">
      <c r="A5" s="357"/>
      <c r="B5" s="358"/>
      <c r="C5" s="3703" t="s">
        <v>3408</v>
      </c>
      <c r="D5" s="3704"/>
      <c r="E5" s="3703" t="s">
        <v>3408</v>
      </c>
      <c r="F5" s="3704"/>
      <c r="G5" s="3703" t="s">
        <v>3408</v>
      </c>
      <c r="H5" s="3704"/>
      <c r="I5" s="3703" t="s">
        <v>3408</v>
      </c>
      <c r="J5" s="3704"/>
      <c r="K5" s="558"/>
      <c r="L5" s="2711"/>
      <c r="M5" s="2712"/>
      <c r="N5" s="2712"/>
      <c r="O5" s="2712"/>
      <c r="P5" s="3699"/>
      <c r="Q5" s="3700"/>
      <c r="R5" s="3682"/>
      <c r="S5" s="3683"/>
      <c r="T5" s="3682"/>
      <c r="U5" s="3683"/>
      <c r="V5" s="3679"/>
      <c r="W5" s="3679"/>
      <c r="X5" s="1354"/>
      <c r="Y5" s="3682"/>
      <c r="Z5" s="3683"/>
      <c r="AA5" s="3687"/>
      <c r="AB5" s="3687"/>
      <c r="AC5" s="3691"/>
    </row>
    <row r="6" spans="1:29" ht="15.75" thickBot="1">
      <c r="A6" s="359"/>
      <c r="B6" s="360"/>
      <c r="C6" s="3744" t="s">
        <v>3409</v>
      </c>
      <c r="D6" s="3708"/>
      <c r="E6" s="3744" t="s">
        <v>3409</v>
      </c>
      <c r="F6" s="3708"/>
      <c r="G6" s="3744" t="s">
        <v>3409</v>
      </c>
      <c r="H6" s="3708"/>
      <c r="I6" s="3744" t="s">
        <v>3409</v>
      </c>
      <c r="J6" s="3708"/>
      <c r="K6" s="558" t="s">
        <v>1677</v>
      </c>
      <c r="L6" s="2711"/>
      <c r="M6" s="2712"/>
      <c r="N6" s="2712"/>
      <c r="O6" s="2712"/>
      <c r="P6" s="3701"/>
      <c r="Q6" s="3702"/>
      <c r="R6" s="3682"/>
      <c r="S6" s="3683"/>
      <c r="T6" s="3684"/>
      <c r="U6" s="3685"/>
      <c r="V6" s="3679"/>
      <c r="W6" s="3679"/>
      <c r="X6" s="1354"/>
      <c r="Y6" s="3684"/>
      <c r="Z6" s="3685"/>
      <c r="AA6" s="3688"/>
      <c r="AB6" s="3688"/>
      <c r="AC6" s="3692"/>
    </row>
    <row r="7" spans="1:29" s="108" customFormat="1" ht="15.75" thickBot="1">
      <c r="A7" s="361" t="s">
        <v>1678</v>
      </c>
      <c r="B7" s="362"/>
      <c r="C7" s="363">
        <f>'数据-取费表'!B2</f>
        <v>45407</v>
      </c>
      <c r="D7" s="364">
        <v>100</v>
      </c>
      <c r="E7" s="365">
        <v>45174</v>
      </c>
      <c r="F7" s="366">
        <f>SUMIF(59:59,YEAR(E7)&amp;"-"&amp;MONTH(E7),60:60)</f>
        <v>100</v>
      </c>
      <c r="G7" s="365">
        <v>45372</v>
      </c>
      <c r="H7" s="364">
        <f>SUMIF(59:59,YEAR(G7)&amp;"-"&amp;MONTH(G7),60:60)</f>
        <v>100</v>
      </c>
      <c r="I7" s="365">
        <v>45174</v>
      </c>
      <c r="J7" s="364">
        <f>SUMIF(59:59,YEAR(I7)&amp;"-"&amp;MONTH(I7),60:60)</f>
        <v>100</v>
      </c>
      <c r="K7" s="559"/>
      <c r="L7" s="2713"/>
      <c r="M7" s="2714"/>
      <c r="N7" s="2714"/>
      <c r="O7" s="2714"/>
      <c r="P7" s="3675" t="s">
        <v>1679</v>
      </c>
      <c r="Q7" s="3689"/>
      <c r="R7" s="700" t="s">
        <v>14</v>
      </c>
      <c r="S7" s="701">
        <f t="shared" ref="S7:S15" si="0">F7</f>
        <v>100</v>
      </c>
      <c r="T7" s="700" t="s">
        <v>14</v>
      </c>
      <c r="U7" s="701">
        <f t="shared" ref="U7:U15" si="1">H7</f>
        <v>100</v>
      </c>
      <c r="V7" s="700" t="s">
        <v>14</v>
      </c>
      <c r="W7" s="701">
        <f t="shared" ref="W7:W15" si="2">J7</f>
        <v>100</v>
      </c>
      <c r="X7" s="702"/>
      <c r="Y7" s="3677" t="s">
        <v>1679</v>
      </c>
      <c r="Z7" s="3676"/>
      <c r="AA7" s="703">
        <f>D7/F7</f>
        <v>1</v>
      </c>
      <c r="AB7" s="703">
        <f>D7/H7</f>
        <v>1</v>
      </c>
      <c r="AC7" s="1958">
        <f>D7/J7</f>
        <v>1</v>
      </c>
    </row>
    <row r="8" spans="1:29" s="108" customFormat="1" ht="15.7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75" t="s">
        <v>1682</v>
      </c>
      <c r="Q8" s="3676"/>
      <c r="R8" s="700" t="s">
        <v>14</v>
      </c>
      <c r="S8" s="701">
        <f t="shared" si="0"/>
        <v>102</v>
      </c>
      <c r="T8" s="700" t="s">
        <v>14</v>
      </c>
      <c r="U8" s="701">
        <f t="shared" si="1"/>
        <v>102</v>
      </c>
      <c r="V8" s="700" t="s">
        <v>14</v>
      </c>
      <c r="W8" s="701">
        <f t="shared" si="2"/>
        <v>102</v>
      </c>
      <c r="X8" s="702"/>
      <c r="Y8" s="3677" t="s">
        <v>1682</v>
      </c>
      <c r="Z8" s="3676"/>
      <c r="AA8" s="703">
        <f t="shared" ref="AA8:AA47" si="3">D8/F8</f>
        <v>0.98039215686274506</v>
      </c>
      <c r="AB8" s="703">
        <f t="shared" ref="AB8:AB47" si="4">D8/H8</f>
        <v>0.98039215686274506</v>
      </c>
      <c r="AC8" s="1958">
        <f t="shared" ref="AC8:AC47" si="5">D8/J8</f>
        <v>0.98039215686274506</v>
      </c>
    </row>
    <row r="9" spans="1:29" s="108" customFormat="1">
      <c r="A9" s="368" t="s">
        <v>1683</v>
      </c>
      <c r="B9" s="63" t="s">
        <v>1684</v>
      </c>
      <c r="C9" s="3460" t="s">
        <v>3413</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1958">
        <f t="shared" si="5"/>
        <v>1</v>
      </c>
    </row>
    <row r="10" spans="1:29" s="377" customFormat="1" ht="27">
      <c r="A10" s="373"/>
      <c r="B10" s="374" t="s">
        <v>1687</v>
      </c>
      <c r="C10" s="3430">
        <f>'数据-取费表'!F6</f>
        <v>20.14</v>
      </c>
      <c r="D10" s="126">
        <v>100</v>
      </c>
      <c r="E10" s="3430">
        <f>C10</f>
        <v>20.14</v>
      </c>
      <c r="F10" s="126">
        <f>SUMIF(66:66,E10,67:67)-SUMIF(66:66,C10,67:67)+100</f>
        <v>100</v>
      </c>
      <c r="G10" s="3431">
        <f>C10</f>
        <v>20.14</v>
      </c>
      <c r="H10" s="126">
        <f>SUMIF(66:66,G10,67:67)-SUMIF(66:66,C10,67:67)+100</f>
        <v>100</v>
      </c>
      <c r="I10" s="3430">
        <f>C10</f>
        <v>20.14</v>
      </c>
      <c r="J10" s="126">
        <f>SUMIF(66:66,I10,67:67)-SUMIF(66:66,C10,67:67)+100</f>
        <v>100</v>
      </c>
      <c r="K10" s="559"/>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75" thickBot="1">
      <c r="A11" s="378"/>
      <c r="B11" s="374" t="s">
        <v>1688</v>
      </c>
      <c r="C11" s="379">
        <f>'数据-汇总表'!I7</f>
        <v>9.9</v>
      </c>
      <c r="D11" s="126">
        <v>100</v>
      </c>
      <c r="E11" s="379">
        <f>C11</f>
        <v>9.9</v>
      </c>
      <c r="F11" s="126">
        <f>LOOKUP(E11,69:69,70:70)-LOOKUP(C11,69:69,70:70)+100</f>
        <v>100</v>
      </c>
      <c r="G11" s="380">
        <f>C11</f>
        <v>9.9</v>
      </c>
      <c r="H11" s="126">
        <f>LOOKUP(G11,69:69,70:70)-LOOKUP(C11,69:69,70:70)+100</f>
        <v>100</v>
      </c>
      <c r="I11" s="379">
        <f>C11</f>
        <v>9.9</v>
      </c>
      <c r="J11" s="126">
        <f>LOOKUP(I11,69:69,70:70)-LOOKUP(C11,69:69,70:70)+100</f>
        <v>100</v>
      </c>
      <c r="K11" s="560"/>
      <c r="L11" s="2717"/>
      <c r="M11" s="2712"/>
      <c r="N11" s="2712"/>
      <c r="O11" s="2712"/>
      <c r="P11" s="3660"/>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6" t="s">
        <v>1690</v>
      </c>
      <c r="Q15" s="1351" t="str">
        <f t="shared" si="6"/>
        <v>办公集聚程度</v>
      </c>
      <c r="R15" s="704" t="s">
        <v>14</v>
      </c>
      <c r="S15" s="705">
        <f t="shared" si="0"/>
        <v>100</v>
      </c>
      <c r="T15" s="704" t="s">
        <v>14</v>
      </c>
      <c r="U15" s="705">
        <f t="shared" si="1"/>
        <v>100</v>
      </c>
      <c r="V15" s="704" t="s">
        <v>14</v>
      </c>
      <c r="W15" s="705">
        <f t="shared" si="2"/>
        <v>100</v>
      </c>
      <c r="X15" s="1354"/>
      <c r="Y15" s="3668" t="s">
        <v>1690</v>
      </c>
      <c r="Z15" s="1355" t="str">
        <f t="shared" si="7"/>
        <v>办公集聚程度</v>
      </c>
      <c r="AA15" s="1352">
        <f t="shared" si="3"/>
        <v>1</v>
      </c>
      <c r="AB15" s="1352">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67"/>
      <c r="Q16" s="1351"/>
      <c r="R16" s="704"/>
      <c r="S16" s="705"/>
      <c r="T16" s="704"/>
      <c r="U16" s="705"/>
      <c r="V16" s="704"/>
      <c r="W16" s="705"/>
      <c r="X16" s="1354"/>
      <c r="Y16" s="3669"/>
      <c r="Z16" s="1355"/>
      <c r="AA16" s="1352">
        <v>1</v>
      </c>
      <c r="AB16" s="1352">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7"/>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67"/>
      <c r="Q18" s="1351"/>
      <c r="R18" s="704"/>
      <c r="S18" s="705"/>
      <c r="T18" s="704"/>
      <c r="U18" s="705"/>
      <c r="V18" s="704"/>
      <c r="W18" s="705"/>
      <c r="X18" s="1354"/>
      <c r="Y18" s="3669"/>
      <c r="Z18" s="1355"/>
      <c r="AA18" s="1352">
        <v>1</v>
      </c>
      <c r="AB18" s="1352">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7"/>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67"/>
      <c r="Q20" s="1351"/>
      <c r="R20" s="704"/>
      <c r="S20" s="705"/>
      <c r="T20" s="704"/>
      <c r="U20" s="705"/>
      <c r="V20" s="704"/>
      <c r="W20" s="705"/>
      <c r="X20" s="1354"/>
      <c r="Y20" s="3669"/>
      <c r="Z20" s="1355"/>
      <c r="AA20" s="1352">
        <v>1</v>
      </c>
      <c r="AB20" s="1352">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67"/>
      <c r="Q22" s="1351"/>
      <c r="R22" s="704"/>
      <c r="S22" s="705"/>
      <c r="T22" s="704"/>
      <c r="U22" s="705"/>
      <c r="V22" s="704"/>
      <c r="W22" s="705"/>
      <c r="X22" s="1354"/>
      <c r="Y22" s="3669"/>
      <c r="Z22" s="1355"/>
      <c r="AA22" s="1352">
        <v>1</v>
      </c>
      <c r="AB22" s="1352">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7"/>
      <c r="Q23" s="1351" t="str">
        <f>B23</f>
        <v>环境质量</v>
      </c>
      <c r="R23" s="704" t="s">
        <v>14</v>
      </c>
      <c r="S23" s="705">
        <f>F23</f>
        <v>100</v>
      </c>
      <c r="T23" s="704" t="s">
        <v>14</v>
      </c>
      <c r="U23" s="705">
        <f>H23</f>
        <v>100</v>
      </c>
      <c r="V23" s="704" t="s">
        <v>14</v>
      </c>
      <c r="W23" s="705">
        <f>J23</f>
        <v>100</v>
      </c>
      <c r="X23" s="1354"/>
      <c r="Y23" s="3669"/>
      <c r="Z23" s="1355" t="str">
        <f>Q23</f>
        <v>环境质量</v>
      </c>
      <c r="AA23" s="1352">
        <f t="shared" si="3"/>
        <v>1</v>
      </c>
      <c r="AB23" s="1352">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67"/>
      <c r="Q24" s="1351"/>
      <c r="R24" s="704"/>
      <c r="S24" s="705"/>
      <c r="T24" s="704"/>
      <c r="U24" s="705"/>
      <c r="V24" s="704"/>
      <c r="W24" s="705"/>
      <c r="X24" s="1354"/>
      <c r="Y24" s="3669"/>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v>1</v>
      </c>
      <c r="L25" s="2718"/>
      <c r="M25" s="2712"/>
      <c r="N25" s="2712"/>
      <c r="O25" s="2712"/>
      <c r="P25" s="3667"/>
      <c r="Q25" s="1351" t="str">
        <f>B25</f>
        <v>毗邻道路的类型与等级</v>
      </c>
      <c r="R25" s="704" t="s">
        <v>14</v>
      </c>
      <c r="S25" s="705">
        <f>F25</f>
        <v>100</v>
      </c>
      <c r="T25" s="704" t="s">
        <v>14</v>
      </c>
      <c r="U25" s="705">
        <f>H25</f>
        <v>100</v>
      </c>
      <c r="V25" s="704" t="s">
        <v>14</v>
      </c>
      <c r="W25" s="705">
        <f>J25</f>
        <v>100</v>
      </c>
      <c r="X25" s="1354"/>
      <c r="Y25" s="3669"/>
      <c r="Z25" s="1355" t="str">
        <f>Q25</f>
        <v>毗邻道路的类型与等级</v>
      </c>
      <c r="AA25" s="1352">
        <f t="shared" si="3"/>
        <v>1</v>
      </c>
      <c r="AB25" s="1352">
        <f t="shared" si="4"/>
        <v>1</v>
      </c>
      <c r="AC25" s="1961">
        <f t="shared" si="5"/>
        <v>1</v>
      </c>
    </row>
    <row r="26" spans="1:29" ht="15">
      <c r="A26" s="357"/>
      <c r="B26" s="579"/>
      <c r="C26" s="581" t="s">
        <v>3438</v>
      </c>
      <c r="D26" s="385"/>
      <c r="E26" s="564" t="s">
        <v>3438</v>
      </c>
      <c r="F26" s="385"/>
      <c r="G26" s="581" t="s">
        <v>3438</v>
      </c>
      <c r="H26" s="385"/>
      <c r="I26" s="564" t="s">
        <v>3438</v>
      </c>
      <c r="J26" s="385"/>
      <c r="K26" s="563"/>
      <c r="L26" s="2718"/>
      <c r="M26" s="2712"/>
      <c r="N26" s="2712"/>
      <c r="O26" s="2712"/>
      <c r="P26" s="3667"/>
      <c r="Q26" s="1351"/>
      <c r="R26" s="704"/>
      <c r="S26" s="705"/>
      <c r="T26" s="704"/>
      <c r="U26" s="705"/>
      <c r="V26" s="704"/>
      <c r="W26" s="705"/>
      <c r="X26" s="1354"/>
      <c r="Y26" s="3669"/>
      <c r="Z26" s="1355"/>
      <c r="AA26" s="1352">
        <v>1</v>
      </c>
      <c r="AB26" s="1352">
        <v>1</v>
      </c>
      <c r="AC26" s="1961">
        <v>1</v>
      </c>
    </row>
    <row r="27" spans="1:29" ht="15">
      <c r="A27" s="378"/>
      <c r="B27" s="579" t="s">
        <v>1782</v>
      </c>
      <c r="C27" s="581" t="s">
        <v>3440</v>
      </c>
      <c r="D27" s="385">
        <v>100</v>
      </c>
      <c r="E27" s="564" t="s">
        <v>3439</v>
      </c>
      <c r="F27" s="385">
        <f>SUMIF(89:89,E27,90:90)-SUMIF(89:89,C27,90:90)+100</f>
        <v>102</v>
      </c>
      <c r="G27" s="581" t="s">
        <v>3460</v>
      </c>
      <c r="H27" s="385">
        <f>SUMIF(89:89,G27,90:90)-SUMIF(89:89,C27,90:90)+100</f>
        <v>104</v>
      </c>
      <c r="I27" s="564" t="s">
        <v>3439</v>
      </c>
      <c r="J27" s="385">
        <f>SUMIF(89:89,I27,90:90)-SUMIF(89:89,C27,90:90)+100</f>
        <v>102</v>
      </c>
      <c r="K27" s="560">
        <v>2</v>
      </c>
      <c r="L27" s="2718"/>
      <c r="M27" s="2712"/>
      <c r="N27" s="2712"/>
      <c r="O27" s="2712"/>
      <c r="P27" s="3667"/>
      <c r="Q27" s="1351" t="str">
        <f t="shared" ref="Q27:Q47" si="11">B27</f>
        <v>楼层</v>
      </c>
      <c r="R27" s="704" t="s">
        <v>14</v>
      </c>
      <c r="S27" s="705">
        <f>F27</f>
        <v>102</v>
      </c>
      <c r="T27" s="704" t="s">
        <v>14</v>
      </c>
      <c r="U27" s="705">
        <f>H27</f>
        <v>104</v>
      </c>
      <c r="V27" s="704" t="s">
        <v>14</v>
      </c>
      <c r="W27" s="705">
        <f>J27</f>
        <v>102</v>
      </c>
      <c r="X27" s="1354"/>
      <c r="Y27" s="3669"/>
      <c r="Z27" s="1355" t="str">
        <f>Q27</f>
        <v>楼层</v>
      </c>
      <c r="AA27" s="1352">
        <f t="shared" si="3"/>
        <v>0.98039215686274506</v>
      </c>
      <c r="AB27" s="1352">
        <f t="shared" si="4"/>
        <v>0.96153846153846156</v>
      </c>
      <c r="AC27" s="1961">
        <f t="shared" si="5"/>
        <v>0.98039215686274506</v>
      </c>
    </row>
    <row r="28" spans="1:29" s="108" customFormat="1" ht="15.75"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7"/>
      <c r="Q28" s="1342" t="str">
        <f t="shared" si="11"/>
        <v>朝向</v>
      </c>
      <c r="R28" s="700" t="s">
        <v>14</v>
      </c>
      <c r="S28" s="701">
        <f>F28</f>
        <v>100</v>
      </c>
      <c r="T28" s="700" t="s">
        <v>14</v>
      </c>
      <c r="U28" s="701">
        <f>H28</f>
        <v>100</v>
      </c>
      <c r="V28" s="700" t="s">
        <v>14</v>
      </c>
      <c r="W28" s="701">
        <f>J28</f>
        <v>100</v>
      </c>
      <c r="X28" s="702"/>
      <c r="Y28" s="3669"/>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7"/>
      <c r="Q29" s="1351">
        <f t="shared" si="11"/>
        <v>111</v>
      </c>
      <c r="R29" s="704" t="s">
        <v>14</v>
      </c>
      <c r="S29" s="705">
        <f t="shared" ref="S29:S47" si="12">F29</f>
        <v>100</v>
      </c>
      <c r="T29" s="704" t="s">
        <v>14</v>
      </c>
      <c r="U29" s="705">
        <f t="shared" ref="U29:U47" si="13">H29</f>
        <v>100</v>
      </c>
      <c r="V29" s="704" t="s">
        <v>14</v>
      </c>
      <c r="W29" s="705">
        <f t="shared" ref="W29:W47" si="14">J29</f>
        <v>100</v>
      </c>
      <c r="X29" s="1354"/>
      <c r="Y29" s="3669"/>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7"/>
      <c r="Q30" s="1351">
        <f t="shared" si="11"/>
        <v>111</v>
      </c>
      <c r="R30" s="704" t="s">
        <v>14</v>
      </c>
      <c r="S30" s="705">
        <f t="shared" si="12"/>
        <v>100</v>
      </c>
      <c r="T30" s="704" t="s">
        <v>14</v>
      </c>
      <c r="U30" s="705">
        <f t="shared" si="13"/>
        <v>100</v>
      </c>
      <c r="V30" s="704" t="s">
        <v>14</v>
      </c>
      <c r="W30" s="705">
        <f t="shared" si="14"/>
        <v>100</v>
      </c>
      <c r="X30" s="1354"/>
      <c r="Y30" s="3669"/>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7"/>
      <c r="Q31" s="1351">
        <f t="shared" si="11"/>
        <v>111</v>
      </c>
      <c r="R31" s="704" t="s">
        <v>14</v>
      </c>
      <c r="S31" s="705">
        <f t="shared" si="12"/>
        <v>100</v>
      </c>
      <c r="T31" s="704" t="s">
        <v>14</v>
      </c>
      <c r="U31" s="705">
        <f t="shared" si="13"/>
        <v>100</v>
      </c>
      <c r="V31" s="704" t="s">
        <v>14</v>
      </c>
      <c r="W31" s="705">
        <f t="shared" si="14"/>
        <v>100</v>
      </c>
      <c r="X31" s="1354"/>
      <c r="Y31" s="3669"/>
      <c r="Z31" s="1355">
        <f t="shared" si="15"/>
        <v>111</v>
      </c>
      <c r="AA31" s="1352">
        <f t="shared" si="3"/>
        <v>1</v>
      </c>
      <c r="AB31" s="1352">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7"/>
      <c r="Q32" s="1351">
        <f t="shared" si="11"/>
        <v>111</v>
      </c>
      <c r="R32" s="704" t="s">
        <v>14</v>
      </c>
      <c r="S32" s="705">
        <f t="shared" si="12"/>
        <v>100</v>
      </c>
      <c r="T32" s="704" t="s">
        <v>14</v>
      </c>
      <c r="U32" s="705">
        <f t="shared" si="13"/>
        <v>100</v>
      </c>
      <c r="V32" s="704" t="s">
        <v>14</v>
      </c>
      <c r="W32" s="705">
        <f t="shared" si="14"/>
        <v>100</v>
      </c>
      <c r="X32" s="1354"/>
      <c r="Y32" s="3669"/>
      <c r="Z32" s="1355">
        <f t="shared" si="15"/>
        <v>111</v>
      </c>
      <c r="AA32" s="1352">
        <f t="shared" si="3"/>
        <v>1</v>
      </c>
      <c r="AB32" s="1352">
        <f t="shared" si="4"/>
        <v>1</v>
      </c>
      <c r="AC32" s="1961">
        <f t="shared" si="5"/>
        <v>1</v>
      </c>
    </row>
    <row r="33" spans="1:29" ht="15">
      <c r="A33" s="390" t="s">
        <v>1693</v>
      </c>
      <c r="B33" s="63" t="s">
        <v>1816</v>
      </c>
      <c r="C33" s="1966" t="s">
        <v>3441</v>
      </c>
      <c r="D33" s="417">
        <v>100</v>
      </c>
      <c r="E33" s="1966" t="s">
        <v>3441</v>
      </c>
      <c r="F33" s="411">
        <f>SUMIF(101:101,E33,102:102)-SUMIF(101:101,C33,102:102)+100</f>
        <v>100</v>
      </c>
      <c r="G33" s="1966" t="s">
        <v>3441</v>
      </c>
      <c r="H33" s="385">
        <f>SUMIF(101:101,G33,102:102)-SUMIF(101:101,C33,102:102)+100</f>
        <v>100</v>
      </c>
      <c r="I33" s="1966" t="s">
        <v>3441</v>
      </c>
      <c r="J33" s="417">
        <f>SUMIF(101:101,I33,102:102)-SUMIF(101:101,C33,102:102)+100</f>
        <v>100</v>
      </c>
      <c r="K33" s="560"/>
      <c r="L33" s="2718"/>
      <c r="M33" s="2712"/>
      <c r="N33" s="2712"/>
      <c r="O33" s="2712"/>
      <c r="P33" s="3670" t="s">
        <v>1695</v>
      </c>
      <c r="Q33" s="1351" t="str">
        <f t="shared" si="11"/>
        <v>建筑类型</v>
      </c>
      <c r="R33" s="704" t="s">
        <v>14</v>
      </c>
      <c r="S33" s="705">
        <f t="shared" si="12"/>
        <v>100</v>
      </c>
      <c r="T33" s="704" t="s">
        <v>14</v>
      </c>
      <c r="U33" s="705">
        <f t="shared" si="13"/>
        <v>100</v>
      </c>
      <c r="V33" s="704" t="s">
        <v>14</v>
      </c>
      <c r="W33" s="705">
        <f t="shared" si="14"/>
        <v>100</v>
      </c>
      <c r="X33" s="1354"/>
      <c r="Y33" s="3673" t="s">
        <v>1695</v>
      </c>
      <c r="Z33" s="1355" t="str">
        <f t="shared" si="15"/>
        <v>建筑类型</v>
      </c>
      <c r="AA33" s="1352">
        <f t="shared" si="3"/>
        <v>1</v>
      </c>
      <c r="AB33" s="1352">
        <f t="shared" si="4"/>
        <v>1</v>
      </c>
      <c r="AC33" s="1961">
        <f t="shared" si="5"/>
        <v>1</v>
      </c>
    </row>
    <row r="34" spans="1:29" s="421" customFormat="1" ht="15">
      <c r="A34" s="418"/>
      <c r="B34" s="374" t="s">
        <v>1696</v>
      </c>
      <c r="C34" s="419">
        <v>39000</v>
      </c>
      <c r="D34" s="126">
        <v>100</v>
      </c>
      <c r="E34" s="380">
        <v>39000</v>
      </c>
      <c r="F34" s="375">
        <f>LOOKUP(E34,104:104,105:105)-LOOKUP(C34,104:104,105:105)+100</f>
        <v>100</v>
      </c>
      <c r="G34" s="379">
        <v>39000</v>
      </c>
      <c r="H34" s="126">
        <f>LOOKUP(G34,104:104,105:105)-LOOKUP(C34,104:104,105:105)+100</f>
        <v>100</v>
      </c>
      <c r="I34" s="379">
        <v>39000</v>
      </c>
      <c r="J34" s="126">
        <f>LOOKUP(I34,104:104,105:105)-LOOKUP(C34,104:104,105:105)+100</f>
        <v>100</v>
      </c>
      <c r="K34" s="561"/>
      <c r="L34" s="2717"/>
      <c r="M34" s="2719"/>
      <c r="N34" s="2719"/>
      <c r="O34" s="2719"/>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1352">
        <f t="shared" si="3"/>
        <v>1</v>
      </c>
      <c r="AB34" s="1352">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671"/>
      <c r="Q35" s="1351" t="str">
        <f t="shared" si="11"/>
        <v>建筑结构</v>
      </c>
      <c r="R35" s="704" t="s">
        <v>14</v>
      </c>
      <c r="S35" s="705">
        <f t="shared" si="12"/>
        <v>100</v>
      </c>
      <c r="T35" s="704" t="s">
        <v>14</v>
      </c>
      <c r="U35" s="705">
        <f t="shared" si="13"/>
        <v>100</v>
      </c>
      <c r="V35" s="704" t="s">
        <v>14</v>
      </c>
      <c r="W35" s="705">
        <f t="shared" si="14"/>
        <v>100</v>
      </c>
      <c r="X35" s="1354"/>
      <c r="Y35" s="3673"/>
      <c r="Z35" s="1355" t="str">
        <f t="shared" si="15"/>
        <v>建筑结构</v>
      </c>
      <c r="AA35" s="1352">
        <f t="shared" si="3"/>
        <v>1</v>
      </c>
      <c r="AB35" s="1352">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671"/>
      <c r="Q36" s="1351" t="str">
        <f t="shared" si="11"/>
        <v>公共部分装修</v>
      </c>
      <c r="R36" s="704" t="s">
        <v>14</v>
      </c>
      <c r="S36" s="705">
        <f t="shared" si="12"/>
        <v>100</v>
      </c>
      <c r="T36" s="704" t="s">
        <v>14</v>
      </c>
      <c r="U36" s="705">
        <f t="shared" si="13"/>
        <v>100</v>
      </c>
      <c r="V36" s="704" t="s">
        <v>14</v>
      </c>
      <c r="W36" s="705">
        <f t="shared" si="14"/>
        <v>100</v>
      </c>
      <c r="X36" s="1354"/>
      <c r="Y36" s="3673"/>
      <c r="Z36" s="1355" t="str">
        <f t="shared" si="15"/>
        <v>公共部分装修</v>
      </c>
      <c r="AA36" s="1352">
        <f t="shared" si="3"/>
        <v>1</v>
      </c>
      <c r="AB36" s="1352">
        <f t="shared" si="4"/>
        <v>1</v>
      </c>
      <c r="AC36" s="1961">
        <f t="shared" si="5"/>
        <v>1</v>
      </c>
    </row>
    <row r="37" spans="1:29" ht="15">
      <c r="A37" s="422"/>
      <c r="B37" s="374" t="s">
        <v>1785</v>
      </c>
      <c r="C37" s="424">
        <f>'数据-取费表'!N6</f>
        <v>0.68</v>
      </c>
      <c r="D37" s="385">
        <v>100</v>
      </c>
      <c r="E37" s="424">
        <f>C37</f>
        <v>0.68</v>
      </c>
      <c r="F37" s="411">
        <f>LOOKUP(E37,111:111,112:112)-LOOKUP(C37,111:111,112:112)+100</f>
        <v>100</v>
      </c>
      <c r="G37" s="424">
        <f>C37</f>
        <v>0.68</v>
      </c>
      <c r="H37" s="411">
        <f>LOOKUP(G37,111:111,112:112)-LOOKUP(C37,111:111,112:112)+100</f>
        <v>100</v>
      </c>
      <c r="I37" s="424">
        <f>C37</f>
        <v>0.68</v>
      </c>
      <c r="J37" s="385">
        <f>LOOKUP(I37,111:111,112:112)-LOOKUP(C37,111:111,112:112)+100</f>
        <v>100</v>
      </c>
      <c r="K37" s="560">
        <v>1</v>
      </c>
      <c r="L37" s="2718"/>
      <c r="M37" s="2712"/>
      <c r="N37" s="2712"/>
      <c r="O37" s="2712"/>
      <c r="P37" s="3671"/>
      <c r="Q37" s="1351" t="str">
        <f t="shared" si="11"/>
        <v>成新度</v>
      </c>
      <c r="R37" s="704" t="s">
        <v>14</v>
      </c>
      <c r="S37" s="705">
        <f t="shared" si="12"/>
        <v>100</v>
      </c>
      <c r="T37" s="704" t="s">
        <v>14</v>
      </c>
      <c r="U37" s="705">
        <f t="shared" si="13"/>
        <v>100</v>
      </c>
      <c r="V37" s="704" t="s">
        <v>14</v>
      </c>
      <c r="W37" s="705">
        <f t="shared" si="14"/>
        <v>100</v>
      </c>
      <c r="X37" s="1354"/>
      <c r="Y37" s="3673"/>
      <c r="Z37" s="1355" t="str">
        <f t="shared" si="15"/>
        <v>成新度</v>
      </c>
      <c r="AA37" s="1352">
        <f t="shared" si="3"/>
        <v>1</v>
      </c>
      <c r="AB37" s="1352">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671"/>
      <c r="Q38" s="1342" t="str">
        <f t="shared" si="11"/>
        <v>写字楼等级</v>
      </c>
      <c r="R38" s="700" t="s">
        <v>14</v>
      </c>
      <c r="S38" s="701">
        <f t="shared" si="12"/>
        <v>100</v>
      </c>
      <c r="T38" s="700" t="s">
        <v>14</v>
      </c>
      <c r="U38" s="701">
        <f t="shared" si="13"/>
        <v>100</v>
      </c>
      <c r="V38" s="700" t="s">
        <v>14</v>
      </c>
      <c r="W38" s="701">
        <f t="shared" si="14"/>
        <v>100</v>
      </c>
      <c r="X38" s="702"/>
      <c r="Y38" s="3673"/>
      <c r="Z38" s="52"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671" t="s">
        <v>1695</v>
      </c>
      <c r="Q39" s="1351" t="str">
        <f t="shared" si="11"/>
        <v>物业管理</v>
      </c>
      <c r="R39" s="704" t="s">
        <v>14</v>
      </c>
      <c r="S39" s="705">
        <f t="shared" si="12"/>
        <v>100</v>
      </c>
      <c r="T39" s="704" t="s">
        <v>14</v>
      </c>
      <c r="U39" s="705">
        <f t="shared" si="13"/>
        <v>100</v>
      </c>
      <c r="V39" s="704" t="s">
        <v>14</v>
      </c>
      <c r="W39" s="705">
        <f t="shared" si="14"/>
        <v>100</v>
      </c>
      <c r="X39" s="1354"/>
      <c r="Y39" s="3673" t="s">
        <v>1695</v>
      </c>
      <c r="Z39" s="1355" t="str">
        <f t="shared" si="15"/>
        <v>物业管理</v>
      </c>
      <c r="AA39" s="1352">
        <f t="shared" si="3"/>
        <v>1</v>
      </c>
      <c r="AB39" s="1352">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671"/>
      <c r="Q40" s="1351" t="str">
        <f t="shared" si="11"/>
        <v>市政基础设施</v>
      </c>
      <c r="R40" s="704" t="s">
        <v>14</v>
      </c>
      <c r="S40" s="705">
        <f t="shared" si="12"/>
        <v>100</v>
      </c>
      <c r="T40" s="704" t="s">
        <v>14</v>
      </c>
      <c r="U40" s="705">
        <f t="shared" si="13"/>
        <v>100</v>
      </c>
      <c r="V40" s="704" t="s">
        <v>14</v>
      </c>
      <c r="W40" s="705">
        <f t="shared" si="14"/>
        <v>100</v>
      </c>
      <c r="X40" s="1354"/>
      <c r="Y40" s="3673"/>
      <c r="Z40" s="1355" t="str">
        <f t="shared" si="15"/>
        <v>市政基础设施</v>
      </c>
      <c r="AA40" s="1352">
        <f t="shared" si="3"/>
        <v>1</v>
      </c>
      <c r="AB40" s="1352">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671"/>
      <c r="Q41" s="1351" t="str">
        <f t="shared" si="11"/>
        <v>层高</v>
      </c>
      <c r="R41" s="704" t="s">
        <v>14</v>
      </c>
      <c r="S41" s="705">
        <f t="shared" si="12"/>
        <v>100</v>
      </c>
      <c r="T41" s="704" t="s">
        <v>14</v>
      </c>
      <c r="U41" s="705">
        <f t="shared" si="13"/>
        <v>100</v>
      </c>
      <c r="V41" s="704" t="s">
        <v>14</v>
      </c>
      <c r="W41" s="705">
        <f t="shared" si="14"/>
        <v>100</v>
      </c>
      <c r="X41" s="1354"/>
      <c r="Y41" s="3673"/>
      <c r="Z41" s="1355" t="str">
        <f t="shared" si="15"/>
        <v>层高</v>
      </c>
      <c r="AA41" s="1352">
        <f t="shared" si="3"/>
        <v>1</v>
      </c>
      <c r="AB41" s="1352">
        <f t="shared" si="4"/>
        <v>1</v>
      </c>
      <c r="AC41" s="1961">
        <f t="shared" si="5"/>
        <v>1</v>
      </c>
    </row>
    <row r="42" spans="1:29" s="421" customFormat="1" ht="15">
      <c r="A42" s="418"/>
      <c r="B42" s="1353" t="s">
        <v>1819</v>
      </c>
      <c r="C42" s="384">
        <v>131.02000000000001</v>
      </c>
      <c r="D42" s="385">
        <v>100</v>
      </c>
      <c r="E42" s="384">
        <v>152</v>
      </c>
      <c r="F42" s="411">
        <f>SUMIF(121:121,E42,122:122)-SUMIF(121:121,C42,122:122)+100</f>
        <v>100</v>
      </c>
      <c r="G42" s="384">
        <v>1200</v>
      </c>
      <c r="H42" s="385">
        <f>SUMIF(121:121,G42,122:122)-SUMIF(121:121,C42,122:122)+100</f>
        <v>100</v>
      </c>
      <c r="I42" s="384">
        <v>500</v>
      </c>
      <c r="J42" s="385">
        <f>SUMIF(121:121,I42,122:122)-SUMIF(121:121,C42,122:122)+100</f>
        <v>100</v>
      </c>
      <c r="K42" s="561"/>
      <c r="L42" s="2717"/>
      <c r="M42" s="2719"/>
      <c r="N42" s="2719"/>
      <c r="O42" s="2719"/>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1352">
        <f t="shared" si="3"/>
        <v>1</v>
      </c>
      <c r="AB42" s="1352">
        <f t="shared" si="4"/>
        <v>1</v>
      </c>
      <c r="AC42" s="1961">
        <f t="shared" si="5"/>
        <v>1</v>
      </c>
    </row>
    <row r="43" spans="1:29" ht="15">
      <c r="A43" s="422"/>
      <c r="B43" s="374" t="s">
        <v>1791</v>
      </c>
      <c r="C43" s="410" t="s">
        <v>3501</v>
      </c>
      <c r="D43" s="385">
        <v>100</v>
      </c>
      <c r="E43" s="410" t="s">
        <v>3442</v>
      </c>
      <c r="F43" s="411">
        <f>SUMIF(123:123,E43,124:124)-SUMIF(123:123,C43,124:124)+100</f>
        <v>102</v>
      </c>
      <c r="G43" s="410" t="s">
        <v>3442</v>
      </c>
      <c r="H43" s="385">
        <f>SUMIF(123:123,G43,124:124)-SUMIF(123:123,C43,124:124)+100</f>
        <v>102</v>
      </c>
      <c r="I43" s="410" t="s">
        <v>3442</v>
      </c>
      <c r="J43" s="385">
        <f>SUMIF(123:123,I43,124:124)-SUMIF(123:123,C43,124:124)+100</f>
        <v>102</v>
      </c>
      <c r="K43" s="560">
        <v>2</v>
      </c>
      <c r="L43" s="2718"/>
      <c r="M43" s="2712"/>
      <c r="N43" s="2712"/>
      <c r="O43" s="2712"/>
      <c r="P43" s="3671"/>
      <c r="Q43" s="1351" t="str">
        <f t="shared" si="11"/>
        <v>内部装修</v>
      </c>
      <c r="R43" s="704" t="s">
        <v>14</v>
      </c>
      <c r="S43" s="705">
        <f t="shared" si="12"/>
        <v>102</v>
      </c>
      <c r="T43" s="704" t="s">
        <v>14</v>
      </c>
      <c r="U43" s="705">
        <f t="shared" si="13"/>
        <v>102</v>
      </c>
      <c r="V43" s="704" t="s">
        <v>14</v>
      </c>
      <c r="W43" s="705">
        <f t="shared" si="14"/>
        <v>102</v>
      </c>
      <c r="X43" s="1354"/>
      <c r="Y43" s="3673"/>
      <c r="Z43" s="1355" t="str">
        <f t="shared" si="15"/>
        <v>内部装修</v>
      </c>
      <c r="AA43" s="1352">
        <f t="shared" si="3"/>
        <v>0.98039215686274506</v>
      </c>
      <c r="AB43" s="1352">
        <f t="shared" si="4"/>
        <v>0.98039215686274506</v>
      </c>
      <c r="AC43" s="1961">
        <f t="shared" si="5"/>
        <v>0.98039215686274506</v>
      </c>
    </row>
    <row r="44" spans="1:29" ht="15.75"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671"/>
      <c r="Q44" s="1351" t="str">
        <f t="shared" si="11"/>
        <v>内部装修维护情况</v>
      </c>
      <c r="R44" s="704" t="s">
        <v>14</v>
      </c>
      <c r="S44" s="705">
        <f t="shared" si="12"/>
        <v>100</v>
      </c>
      <c r="T44" s="704" t="s">
        <v>14</v>
      </c>
      <c r="U44" s="705">
        <f t="shared" si="13"/>
        <v>100</v>
      </c>
      <c r="V44" s="704" t="s">
        <v>14</v>
      </c>
      <c r="W44" s="705">
        <f t="shared" si="14"/>
        <v>100</v>
      </c>
      <c r="X44" s="1354"/>
      <c r="Y44" s="3673"/>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1342">
        <f t="shared" si="11"/>
        <v>111</v>
      </c>
      <c r="R45" s="700" t="s">
        <v>14</v>
      </c>
      <c r="S45" s="701">
        <f t="shared" si="12"/>
        <v>100</v>
      </c>
      <c r="T45" s="700" t="s">
        <v>14</v>
      </c>
      <c r="U45" s="701">
        <f t="shared" si="13"/>
        <v>100</v>
      </c>
      <c r="V45" s="700" t="s">
        <v>14</v>
      </c>
      <c r="W45" s="701">
        <f t="shared" si="14"/>
        <v>100</v>
      </c>
      <c r="X45" s="702"/>
      <c r="Y45" s="3673"/>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1351">
        <f t="shared" si="11"/>
        <v>111</v>
      </c>
      <c r="R46" s="704" t="s">
        <v>14</v>
      </c>
      <c r="S46" s="705">
        <f t="shared" si="12"/>
        <v>100</v>
      </c>
      <c r="T46" s="704" t="s">
        <v>14</v>
      </c>
      <c r="U46" s="705">
        <f t="shared" si="13"/>
        <v>100</v>
      </c>
      <c r="V46" s="704" t="s">
        <v>14</v>
      </c>
      <c r="W46" s="705">
        <f t="shared" si="14"/>
        <v>100</v>
      </c>
      <c r="X46" s="1354"/>
      <c r="Y46" s="3673"/>
      <c r="Z46" s="1355">
        <f t="shared" si="15"/>
        <v>111</v>
      </c>
      <c r="AA46" s="1352">
        <f t="shared" si="3"/>
        <v>1</v>
      </c>
      <c r="AB46" s="1352">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1351">
        <f t="shared" si="11"/>
        <v>111</v>
      </c>
      <c r="R47" s="704" t="s">
        <v>14</v>
      </c>
      <c r="S47" s="705">
        <f t="shared" si="12"/>
        <v>100</v>
      </c>
      <c r="T47" s="704" t="s">
        <v>14</v>
      </c>
      <c r="U47" s="705">
        <f t="shared" si="13"/>
        <v>100</v>
      </c>
      <c r="V47" s="704" t="s">
        <v>14</v>
      </c>
      <c r="W47" s="705">
        <f t="shared" si="14"/>
        <v>100</v>
      </c>
      <c r="X47" s="1354"/>
      <c r="Y47" s="3674"/>
      <c r="Z47" s="1355">
        <f t="shared" si="15"/>
        <v>111</v>
      </c>
      <c r="AA47" s="1352">
        <f t="shared" si="3"/>
        <v>1</v>
      </c>
      <c r="AB47" s="1352">
        <f t="shared" si="4"/>
        <v>1</v>
      </c>
      <c r="AC47" s="1961">
        <f t="shared" si="5"/>
        <v>1</v>
      </c>
    </row>
    <row r="48" spans="1:29" ht="15">
      <c r="A48" s="429" t="s">
        <v>1707</v>
      </c>
      <c r="B48" s="430"/>
      <c r="C48" s="1153" t="s">
        <v>0</v>
      </c>
      <c r="D48" s="1154"/>
      <c r="E48" s="1155">
        <v>5</v>
      </c>
      <c r="F48" s="1156"/>
      <c r="G48" s="1157">
        <v>5</v>
      </c>
      <c r="H48" s="1158"/>
      <c r="I48" s="1155">
        <v>5</v>
      </c>
      <c r="J48" s="435"/>
      <c r="K48" s="713"/>
      <c r="L48" s="2720"/>
      <c r="M48" s="2712"/>
      <c r="N48" s="2712"/>
      <c r="O48" s="2712"/>
      <c r="P48" s="3660" t="str">
        <f>A48</f>
        <v>成交单价（元/平方米）</v>
      </c>
      <c r="Q48" s="3661"/>
      <c r="R48" s="3662">
        <f>E48</f>
        <v>5</v>
      </c>
      <c r="S48" s="3662"/>
      <c r="T48" s="3662">
        <f>G48</f>
        <v>5</v>
      </c>
      <c r="U48" s="3662"/>
      <c r="V48" s="3662">
        <f>I48</f>
        <v>5</v>
      </c>
      <c r="W48" s="3662"/>
      <c r="X48" s="396"/>
      <c r="Y48" s="711"/>
      <c r="Z48" s="396"/>
      <c r="AA48" s="396"/>
      <c r="AB48" s="396"/>
      <c r="AC48" s="577"/>
    </row>
    <row r="49" spans="1:29" ht="15.75" thickBot="1">
      <c r="A49" s="436" t="s">
        <v>1792</v>
      </c>
      <c r="B49" s="437"/>
      <c r="C49" s="1159">
        <f>R50</f>
        <v>4.7</v>
      </c>
      <c r="D49" s="2316" t="s">
        <v>2137</v>
      </c>
      <c r="E49" s="1160">
        <f>R49</f>
        <v>4.7</v>
      </c>
      <c r="F49" s="2317"/>
      <c r="G49" s="1159">
        <f>T49</f>
        <v>4.5999999999999996</v>
      </c>
      <c r="H49" s="2317"/>
      <c r="I49" s="1160">
        <f>V49</f>
        <v>4.7</v>
      </c>
      <c r="J49" s="2317"/>
      <c r="K49" s="2319">
        <f>F49+H49+J49</f>
        <v>0</v>
      </c>
      <c r="L49" s="2720"/>
      <c r="M49" s="2712"/>
      <c r="N49" s="2712"/>
      <c r="O49" s="2712"/>
      <c r="P49" s="3660" t="str">
        <f>A49</f>
        <v>比较价值（元/平方米）</v>
      </c>
      <c r="Q49" s="3661"/>
      <c r="R49" s="3662">
        <f>IF(F1="售价",ROUND(PRODUCT(R48,AA7:AA47),0),ROUND(PRODUCT(R48,AA7:AA47),1))</f>
        <v>4.7</v>
      </c>
      <c r="S49" s="3662"/>
      <c r="T49" s="3662">
        <f>IF(F1="售价",ROUND(PRODUCT(T48,AB7:AB47),0),ROUND(PRODUCT(T48,AB7:AB47),1))</f>
        <v>4.5999999999999996</v>
      </c>
      <c r="U49" s="3662"/>
      <c r="V49" s="3662">
        <f>IF(F1="售价",ROUND(PRODUCT(V48,AC7:AC47),0),ROUND(PRODUCT(V48,AC7:AC47),1))</f>
        <v>4.7</v>
      </c>
      <c r="W49" s="3662"/>
      <c r="X49" s="396"/>
      <c r="Y49" s="396"/>
      <c r="Z49" s="396"/>
      <c r="AA49" s="396"/>
      <c r="AB49" s="396"/>
      <c r="AC49" s="577"/>
    </row>
    <row r="50" spans="1:29" ht="15.75" thickBot="1">
      <c r="A50" s="440" t="s">
        <v>1793</v>
      </c>
      <c r="B50" s="441"/>
      <c r="C50" s="1162">
        <f>R50</f>
        <v>4.7</v>
      </c>
      <c r="D50" s="1162"/>
      <c r="E50" s="1162"/>
      <c r="F50" s="1162"/>
      <c r="G50" s="1162"/>
      <c r="H50" s="1162"/>
      <c r="I50" s="1162"/>
      <c r="J50" s="442"/>
      <c r="K50" s="714"/>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4.7</v>
      </c>
      <c r="S50" s="3665"/>
      <c r="T50" s="3665"/>
      <c r="U50" s="3665"/>
      <c r="V50" s="3665"/>
      <c r="W50" s="366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f>IF(E48&lt;E49,E49/E48-1,E48/E49-1)</f>
        <v>6.3829787234042534E-2</v>
      </c>
      <c r="F53" s="448" t="str">
        <f>IF(OR(E53&gt;=0.3,E53&lt;=-0.3),"超过30%","")</f>
        <v/>
      </c>
      <c r="G53" s="447">
        <f>IF(G48&lt;G49,G49/G48-1,G48/G49-1)</f>
        <v>8.6956521739130599E-2</v>
      </c>
      <c r="H53" s="448" t="str">
        <f>IF(OR(G53&gt;=0.3,G53&lt;=-0.3),"超过30%","")</f>
        <v/>
      </c>
      <c r="I53" s="447">
        <f>IF(I48&lt;I49,I49/I48-1,I48/I49-1)</f>
        <v>6.3829787234042534E-2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f>IF(E49&lt;G49,G49/E49-1,E49/G49-1)</f>
        <v>2.1739130434782705E-2</v>
      </c>
      <c r="F54" s="448" t="str">
        <f>IF(OR(E54&gt;=0.2,E54&lt;=-0.2),"超过20%","")</f>
        <v/>
      </c>
      <c r="G54" s="447">
        <f>IF(G49&lt;I49,I49/G49-1,G49/I49-1)</f>
        <v>2.1739130434782705E-2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v>100</v>
      </c>
      <c r="E60" s="460">
        <v>100</v>
      </c>
      <c r="F60" s="460">
        <v>100</v>
      </c>
      <c r="G60" s="460">
        <v>100</v>
      </c>
      <c r="H60" s="460">
        <v>100</v>
      </c>
      <c r="I60" s="460">
        <v>100</v>
      </c>
      <c r="J60" s="460">
        <v>100</v>
      </c>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3464" t="s">
        <v>3446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t="s">
        <v>3444</v>
      </c>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v>100</v>
      </c>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3461" t="s">
        <v>3414</v>
      </c>
      <c r="D87" s="3461" t="s">
        <v>3415</v>
      </c>
      <c r="E87" s="3461" t="s">
        <v>3416</v>
      </c>
      <c r="F87" s="3461" t="s">
        <v>3417</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61" t="s">
        <v>3418</v>
      </c>
      <c r="D89" s="3461" t="s">
        <v>3419</v>
      </c>
      <c r="E89" s="3461" t="s">
        <v>3420</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3421</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0(含)-39000</v>
      </c>
      <c r="D103" s="526" t="str">
        <f t="shared" ref="D103:L103" si="23">D104&amp;"(含)"&amp;"-"&amp;E104</f>
        <v>39000(含)-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39000</v>
      </c>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100</v>
      </c>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3423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3424</v>
      </c>
      <c r="D108" s="3461" t="s">
        <v>3425</v>
      </c>
      <c r="E108" s="3461" t="s">
        <v>3426</v>
      </c>
      <c r="F108" s="3463" t="s">
        <v>3427</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3429</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3430</v>
      </c>
      <c r="D115" s="3461" t="s">
        <v>3404</v>
      </c>
      <c r="E115" s="3463" t="s">
        <v>3431</v>
      </c>
      <c r="F115" s="3463" t="s">
        <v>3432</v>
      </c>
      <c r="G115" s="3463" t="s">
        <v>3433</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3405</v>
      </c>
      <c r="D117" s="3461" t="s">
        <v>3434</v>
      </c>
      <c r="E117" s="3461" t="s">
        <v>3435</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3437</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43" t="s">
        <v>3459</v>
      </c>
      <c r="D121" s="543"/>
      <c r="E121" s="543"/>
      <c r="F121" s="543"/>
      <c r="G121" s="54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v>100</v>
      </c>
      <c r="D122" s="484"/>
      <c r="E122" s="484"/>
      <c r="F122" s="484"/>
      <c r="G122" s="484"/>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3424</v>
      </c>
      <c r="D123" s="3461" t="s">
        <v>3425</v>
      </c>
      <c r="E123" s="3461" t="s">
        <v>3426</v>
      </c>
      <c r="F123" s="3463" t="s">
        <v>3427</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受贵公司委托，我公司对北京市东城区灯市口大街33号4层425房地产抵押价值进行了预评估。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估价对象为北京市东城区灯市口大街33号4层425房地产，为何帆所有。根据《国有土地使用证》[]，估价对象（分摊）出让国有建设用地使用权面积为12.1平方米，建筑面积为131.02平方米。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2024年4月25日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131.02000000000001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693" t="s">
        <v>1769</v>
      </c>
      <c r="D4" s="3694"/>
      <c r="E4" s="3695" t="s">
        <v>1770</v>
      </c>
      <c r="F4" s="3696"/>
      <c r="G4" s="3693" t="s">
        <v>1771</v>
      </c>
      <c r="H4" s="3694"/>
      <c r="I4" s="3693" t="s">
        <v>1772</v>
      </c>
      <c r="J4" s="3694"/>
      <c r="K4" s="558" t="s">
        <v>1773</v>
      </c>
      <c r="L4" s="912"/>
      <c r="M4" s="913"/>
      <c r="N4" s="913"/>
      <c r="O4" s="913"/>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ht="15">
      <c r="A5" s="357"/>
      <c r="B5" s="358"/>
      <c r="C5" s="3742" t="s">
        <v>1672</v>
      </c>
      <c r="D5" s="3704"/>
      <c r="E5" s="3743" t="s">
        <v>1673</v>
      </c>
      <c r="F5" s="3706"/>
      <c r="G5" s="3742" t="s">
        <v>1674</v>
      </c>
      <c r="H5" s="3704"/>
      <c r="I5" s="3742" t="s">
        <v>1675</v>
      </c>
      <c r="J5" s="3704"/>
      <c r="K5" s="558"/>
      <c r="L5" s="912"/>
      <c r="M5" s="913"/>
      <c r="N5" s="913"/>
      <c r="O5" s="913"/>
      <c r="P5" s="3738"/>
      <c r="Q5" s="3700"/>
      <c r="R5" s="3682"/>
      <c r="S5" s="3683"/>
      <c r="T5" s="3682"/>
      <c r="U5" s="3683"/>
      <c r="V5" s="3679"/>
      <c r="W5" s="3679"/>
      <c r="X5" s="1354"/>
      <c r="Y5" s="3682"/>
      <c r="Z5" s="3683"/>
      <c r="AA5" s="3687"/>
      <c r="AB5" s="3687"/>
      <c r="AC5" s="3687"/>
    </row>
    <row r="6" spans="1:29" ht="15.75" thickBot="1">
      <c r="A6" s="359"/>
      <c r="B6" s="360"/>
      <c r="C6" s="3707" t="s">
        <v>1676</v>
      </c>
      <c r="D6" s="3708"/>
      <c r="E6" s="3709" t="s">
        <v>1676</v>
      </c>
      <c r="F6" s="3710"/>
      <c r="G6" s="3707" t="s">
        <v>1676</v>
      </c>
      <c r="H6" s="3708"/>
      <c r="I6" s="3707" t="s">
        <v>1676</v>
      </c>
      <c r="J6" s="3708"/>
      <c r="K6" s="558" t="s">
        <v>1677</v>
      </c>
      <c r="L6" s="912"/>
      <c r="M6" s="913"/>
      <c r="N6" s="913"/>
      <c r="O6" s="913"/>
      <c r="P6" s="3739"/>
      <c r="Q6" s="3702"/>
      <c r="R6" s="3682"/>
      <c r="S6" s="3683"/>
      <c r="T6" s="3684"/>
      <c r="U6" s="3685"/>
      <c r="V6" s="3679"/>
      <c r="W6" s="3679"/>
      <c r="X6" s="1354"/>
      <c r="Y6" s="3684"/>
      <c r="Z6" s="3685"/>
      <c r="AA6" s="3688"/>
      <c r="AB6" s="3688"/>
      <c r="AC6" s="3688"/>
    </row>
    <row r="7" spans="1:29" s="108" customFormat="1" ht="15.75" thickBot="1">
      <c r="A7" s="361" t="s">
        <v>1678</v>
      </c>
      <c r="B7" s="362"/>
      <c r="C7" s="363">
        <f>'数据-取费表'!B2</f>
        <v>45407</v>
      </c>
      <c r="D7" s="364">
        <v>100</v>
      </c>
      <c r="E7" s="365"/>
      <c r="F7" s="366">
        <f>SUMIF(52:52,YEAR(E7)&amp;"-"&amp;MONTH(E7),53:53)</f>
        <v>0</v>
      </c>
      <c r="G7" s="365"/>
      <c r="H7" s="364">
        <f>SUMIF(52:52,YEAR(G7)&amp;"-"&amp;MONTH(G7),53:53)</f>
        <v>0</v>
      </c>
      <c r="I7" s="365"/>
      <c r="J7" s="364">
        <f>SUMIF(52:52,YEAR(I7)&amp;"-"&amp;MONTH(I7),53:53)</f>
        <v>0</v>
      </c>
      <c r="K7" s="559"/>
      <c r="L7" s="914"/>
      <c r="M7" s="915"/>
      <c r="N7" s="915"/>
      <c r="O7" s="915"/>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7" t="s">
        <v>1682</v>
      </c>
      <c r="Q8" s="3676"/>
      <c r="R8" s="700" t="s">
        <v>14</v>
      </c>
      <c r="S8" s="701">
        <f t="shared" si="0"/>
        <v>100</v>
      </c>
      <c r="T8" s="700" t="s">
        <v>14</v>
      </c>
      <c r="U8" s="701">
        <f t="shared" si="1"/>
        <v>100</v>
      </c>
      <c r="V8" s="700" t="s">
        <v>14</v>
      </c>
      <c r="W8" s="701">
        <f t="shared" si="2"/>
        <v>100</v>
      </c>
      <c r="X8" s="702"/>
      <c r="Y8" s="3677" t="s">
        <v>1682</v>
      </c>
      <c r="Z8" s="3676"/>
      <c r="AA8" s="703">
        <f t="shared" ref="AA8:AA40" si="3">D8/F8</f>
        <v>1</v>
      </c>
      <c r="AB8" s="703">
        <f t="shared" ref="AB8:AB40" si="4">D8/H8</f>
        <v>1</v>
      </c>
      <c r="AC8" s="703">
        <f t="shared" ref="AC8:AC40" si="5">D8/J8</f>
        <v>1</v>
      </c>
    </row>
    <row r="9" spans="1:29" s="108"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1"/>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68" t="s">
        <v>1690</v>
      </c>
      <c r="Q15" s="1351" t="str">
        <f t="shared" si="6"/>
        <v>产业集聚程度</v>
      </c>
      <c r="R15" s="704" t="s">
        <v>14</v>
      </c>
      <c r="S15" s="705">
        <f t="shared" si="0"/>
        <v>100</v>
      </c>
      <c r="T15" s="704" t="s">
        <v>14</v>
      </c>
      <c r="U15" s="705">
        <f t="shared" si="1"/>
        <v>100</v>
      </c>
      <c r="V15" s="704" t="s">
        <v>14</v>
      </c>
      <c r="W15" s="705">
        <f t="shared" si="2"/>
        <v>100</v>
      </c>
      <c r="X15" s="1354"/>
      <c r="Y15" s="3668"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69"/>
      <c r="Q16" s="1351"/>
      <c r="R16" s="704"/>
      <c r="S16" s="705"/>
      <c r="T16" s="704"/>
      <c r="U16" s="705"/>
      <c r="V16" s="704"/>
      <c r="W16" s="705"/>
      <c r="X16" s="1354"/>
      <c r="Y16" s="3669"/>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69"/>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69"/>
      <c r="Q18" s="1351"/>
      <c r="R18" s="704"/>
      <c r="S18" s="705"/>
      <c r="T18" s="704"/>
      <c r="U18" s="705"/>
      <c r="V18" s="704"/>
      <c r="W18" s="705"/>
      <c r="X18" s="1354"/>
      <c r="Y18" s="3669"/>
      <c r="Z18" s="1355"/>
      <c r="AA18" s="1352">
        <v>1</v>
      </c>
      <c r="AB18" s="1352">
        <v>1</v>
      </c>
      <c r="AC18" s="1352">
        <v>1</v>
      </c>
    </row>
    <row r="19" spans="1:29" ht="42.75">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69"/>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69"/>
      <c r="Q20" s="1351"/>
      <c r="R20" s="704"/>
      <c r="S20" s="705"/>
      <c r="T20" s="704"/>
      <c r="U20" s="705"/>
      <c r="V20" s="704"/>
      <c r="W20" s="705"/>
      <c r="X20" s="1354"/>
      <c r="Y20" s="3669"/>
      <c r="Z20" s="1355"/>
      <c r="AA20" s="1352">
        <v>1</v>
      </c>
      <c r="AB20" s="1352">
        <v>1</v>
      </c>
      <c r="AC20" s="1352">
        <v>1</v>
      </c>
    </row>
    <row r="21" spans="1:29" ht="28.5">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69"/>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69"/>
      <c r="Q22" s="1351"/>
      <c r="R22" s="704"/>
      <c r="S22" s="705"/>
      <c r="T22" s="704"/>
      <c r="U22" s="705"/>
      <c r="V22" s="704"/>
      <c r="W22" s="705"/>
      <c r="X22" s="1354"/>
      <c r="Y22" s="3669"/>
      <c r="Z22" s="1355"/>
      <c r="AA22" s="1352">
        <v>1</v>
      </c>
      <c r="AB22" s="1352">
        <v>1</v>
      </c>
      <c r="AC22" s="1352">
        <v>1</v>
      </c>
    </row>
    <row r="23" spans="1:29" ht="71.25">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69"/>
      <c r="Q23" s="1351" t="str">
        <f>B23</f>
        <v>环境质量</v>
      </c>
      <c r="R23" s="704" t="s">
        <v>14</v>
      </c>
      <c r="S23" s="705">
        <f>F23</f>
        <v>100</v>
      </c>
      <c r="T23" s="704" t="s">
        <v>14</v>
      </c>
      <c r="U23" s="705">
        <f>H23</f>
        <v>100</v>
      </c>
      <c r="V23" s="704" t="s">
        <v>14</v>
      </c>
      <c r="W23" s="705">
        <f>J23</f>
        <v>100</v>
      </c>
      <c r="X23" s="1354"/>
      <c r="Y23" s="366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69"/>
      <c r="Q24" s="1351"/>
      <c r="R24" s="704"/>
      <c r="S24" s="705"/>
      <c r="T24" s="704"/>
      <c r="U24" s="705"/>
      <c r="V24" s="704"/>
      <c r="W24" s="705"/>
      <c r="X24" s="1354"/>
      <c r="Y24" s="366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69"/>
      <c r="Q25" s="1351">
        <f>B25</f>
        <v>111</v>
      </c>
      <c r="R25" s="704" t="s">
        <v>14</v>
      </c>
      <c r="S25" s="705">
        <f>F25</f>
        <v>100</v>
      </c>
      <c r="T25" s="704" t="s">
        <v>14</v>
      </c>
      <c r="U25" s="705">
        <f>H25</f>
        <v>100</v>
      </c>
      <c r="V25" s="704" t="s">
        <v>14</v>
      </c>
      <c r="W25" s="705">
        <f>J25</f>
        <v>100</v>
      </c>
      <c r="X25" s="1354"/>
      <c r="Y25" s="366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69"/>
      <c r="Q26" s="1351">
        <f t="shared" ref="Q26:Q40" si="11">B26</f>
        <v>111</v>
      </c>
      <c r="R26" s="704" t="s">
        <v>14</v>
      </c>
      <c r="S26" s="705">
        <f>F26</f>
        <v>100</v>
      </c>
      <c r="T26" s="704" t="s">
        <v>14</v>
      </c>
      <c r="U26" s="705">
        <f>H26</f>
        <v>100</v>
      </c>
      <c r="V26" s="704" t="s">
        <v>14</v>
      </c>
      <c r="W26" s="705">
        <f>J26</f>
        <v>100</v>
      </c>
      <c r="X26" s="1354"/>
      <c r="Y26" s="3669"/>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69"/>
      <c r="Q27" s="1342">
        <f t="shared" si="11"/>
        <v>111</v>
      </c>
      <c r="R27" s="700" t="s">
        <v>14</v>
      </c>
      <c r="S27" s="701">
        <f>F27</f>
        <v>100</v>
      </c>
      <c r="T27" s="700" t="s">
        <v>14</v>
      </c>
      <c r="U27" s="701">
        <f>H27</f>
        <v>100</v>
      </c>
      <c r="V27" s="700" t="s">
        <v>14</v>
      </c>
      <c r="W27" s="701">
        <f>J27</f>
        <v>100</v>
      </c>
      <c r="X27" s="702"/>
      <c r="Y27" s="3669"/>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69"/>
      <c r="Q28" s="1351">
        <f t="shared" si="11"/>
        <v>111</v>
      </c>
      <c r="R28" s="704" t="s">
        <v>14</v>
      </c>
      <c r="S28" s="705">
        <f t="shared" ref="S28:S40" si="12">F28</f>
        <v>100</v>
      </c>
      <c r="T28" s="704" t="s">
        <v>14</v>
      </c>
      <c r="U28" s="705">
        <f t="shared" ref="U28:U40" si="13">H28</f>
        <v>100</v>
      </c>
      <c r="V28" s="704" t="s">
        <v>14</v>
      </c>
      <c r="W28" s="705">
        <f t="shared" ref="W28:W40" si="14">J28</f>
        <v>100</v>
      </c>
      <c r="X28" s="1354"/>
      <c r="Y28" s="3669"/>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5" t="s">
        <v>1695</v>
      </c>
      <c r="Q29" s="1351" t="str">
        <f t="shared" si="11"/>
        <v>建筑类型</v>
      </c>
      <c r="R29" s="704" t="s">
        <v>14</v>
      </c>
      <c r="S29" s="705">
        <f t="shared" si="12"/>
        <v>100</v>
      </c>
      <c r="T29" s="704" t="s">
        <v>14</v>
      </c>
      <c r="U29" s="705">
        <f t="shared" si="13"/>
        <v>100</v>
      </c>
      <c r="V29" s="704" t="s">
        <v>14</v>
      </c>
      <c r="W29" s="705">
        <f t="shared" si="14"/>
        <v>100</v>
      </c>
      <c r="X29" s="1354"/>
      <c r="Y29" s="3673"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73"/>
      <c r="Q30" s="706" t="str">
        <f t="shared" si="11"/>
        <v>项目建筑规模</v>
      </c>
      <c r="R30" s="707" t="s">
        <v>14</v>
      </c>
      <c r="S30" s="708" t="e">
        <f t="shared" si="12"/>
        <v>#N/A</v>
      </c>
      <c r="T30" s="707" t="s">
        <v>14</v>
      </c>
      <c r="U30" s="708" t="e">
        <f t="shared" si="13"/>
        <v>#N/A</v>
      </c>
      <c r="V30" s="707" t="s">
        <v>14</v>
      </c>
      <c r="W30" s="708" t="e">
        <f t="shared" si="14"/>
        <v>#N/A</v>
      </c>
      <c r="X30" s="709"/>
      <c r="Y30" s="3673"/>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73"/>
      <c r="Q31" s="1351" t="str">
        <f t="shared" si="11"/>
        <v>建筑结构</v>
      </c>
      <c r="R31" s="704" t="s">
        <v>14</v>
      </c>
      <c r="S31" s="705">
        <f t="shared" si="12"/>
        <v>100</v>
      </c>
      <c r="T31" s="704" t="s">
        <v>14</v>
      </c>
      <c r="U31" s="705">
        <f t="shared" si="13"/>
        <v>100</v>
      </c>
      <c r="V31" s="704" t="s">
        <v>14</v>
      </c>
      <c r="W31" s="705">
        <f t="shared" si="14"/>
        <v>100</v>
      </c>
      <c r="X31" s="1354"/>
      <c r="Y31" s="3673"/>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73"/>
      <c r="Q32" s="1351" t="str">
        <f t="shared" si="11"/>
        <v>公共部分装修</v>
      </c>
      <c r="R32" s="704" t="s">
        <v>14</v>
      </c>
      <c r="S32" s="705">
        <f t="shared" si="12"/>
        <v>100</v>
      </c>
      <c r="T32" s="704" t="s">
        <v>14</v>
      </c>
      <c r="U32" s="705">
        <f t="shared" si="13"/>
        <v>100</v>
      </c>
      <c r="V32" s="704" t="s">
        <v>14</v>
      </c>
      <c r="W32" s="705">
        <f t="shared" si="14"/>
        <v>100</v>
      </c>
      <c r="X32" s="1354"/>
      <c r="Y32" s="3673"/>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73"/>
      <c r="Q33" s="1351" t="str">
        <f t="shared" si="11"/>
        <v>成新度</v>
      </c>
      <c r="R33" s="704" t="s">
        <v>14</v>
      </c>
      <c r="S33" s="705" t="e">
        <f t="shared" si="12"/>
        <v>#N/A</v>
      </c>
      <c r="T33" s="704" t="s">
        <v>14</v>
      </c>
      <c r="U33" s="705" t="e">
        <f t="shared" si="13"/>
        <v>#N/A</v>
      </c>
      <c r="V33" s="704" t="s">
        <v>14</v>
      </c>
      <c r="W33" s="705" t="e">
        <f t="shared" si="14"/>
        <v>#N/A</v>
      </c>
      <c r="X33" s="1354"/>
      <c r="Y33" s="3673"/>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73"/>
      <c r="Q34" s="1342" t="str">
        <f t="shared" si="11"/>
        <v>物业管理</v>
      </c>
      <c r="R34" s="700" t="s">
        <v>14</v>
      </c>
      <c r="S34" s="701">
        <f t="shared" si="12"/>
        <v>100</v>
      </c>
      <c r="T34" s="700" t="s">
        <v>14</v>
      </c>
      <c r="U34" s="701">
        <f t="shared" si="13"/>
        <v>100</v>
      </c>
      <c r="V34" s="700" t="s">
        <v>14</v>
      </c>
      <c r="W34" s="701">
        <f t="shared" si="14"/>
        <v>100</v>
      </c>
      <c r="X34" s="702"/>
      <c r="Y34" s="3673"/>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73" t="s">
        <v>1695</v>
      </c>
      <c r="Q35" s="1351" t="str">
        <f t="shared" si="11"/>
        <v>市政基础设施</v>
      </c>
      <c r="R35" s="704" t="s">
        <v>14</v>
      </c>
      <c r="S35" s="705">
        <f t="shared" si="12"/>
        <v>100</v>
      </c>
      <c r="T35" s="704" t="s">
        <v>14</v>
      </c>
      <c r="U35" s="705">
        <f t="shared" si="13"/>
        <v>100</v>
      </c>
      <c r="V35" s="704" t="s">
        <v>14</v>
      </c>
      <c r="W35" s="705">
        <f t="shared" si="14"/>
        <v>100</v>
      </c>
      <c r="X35" s="1354"/>
      <c r="Y35" s="3673"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73"/>
      <c r="Q36" s="1351" t="str">
        <f t="shared" si="11"/>
        <v>内部装修</v>
      </c>
      <c r="R36" s="704" t="s">
        <v>14</v>
      </c>
      <c r="S36" s="705">
        <f t="shared" si="12"/>
        <v>100</v>
      </c>
      <c r="T36" s="704" t="s">
        <v>14</v>
      </c>
      <c r="U36" s="705">
        <f t="shared" si="13"/>
        <v>100</v>
      </c>
      <c r="V36" s="704" t="s">
        <v>14</v>
      </c>
      <c r="W36" s="705">
        <f t="shared" si="14"/>
        <v>100</v>
      </c>
      <c r="X36" s="1354"/>
      <c r="Y36" s="3673"/>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73"/>
      <c r="Q37" s="1351" t="str">
        <f t="shared" si="11"/>
        <v>内部装修状况</v>
      </c>
      <c r="R37" s="704" t="s">
        <v>14</v>
      </c>
      <c r="S37" s="705">
        <f t="shared" si="12"/>
        <v>100</v>
      </c>
      <c r="T37" s="704" t="s">
        <v>14</v>
      </c>
      <c r="U37" s="705">
        <f t="shared" si="13"/>
        <v>100</v>
      </c>
      <c r="V37" s="704" t="s">
        <v>14</v>
      </c>
      <c r="W37" s="705">
        <f t="shared" si="14"/>
        <v>100</v>
      </c>
      <c r="X37" s="1354"/>
      <c r="Y37" s="367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73"/>
      <c r="Q38" s="706">
        <f t="shared" si="11"/>
        <v>111</v>
      </c>
      <c r="R38" s="707" t="s">
        <v>14</v>
      </c>
      <c r="S38" s="708">
        <f t="shared" si="12"/>
        <v>100</v>
      </c>
      <c r="T38" s="707" t="s">
        <v>14</v>
      </c>
      <c r="U38" s="708">
        <f t="shared" si="13"/>
        <v>100</v>
      </c>
      <c r="V38" s="707" t="s">
        <v>14</v>
      </c>
      <c r="W38" s="708">
        <f t="shared" si="14"/>
        <v>100</v>
      </c>
      <c r="X38" s="709"/>
      <c r="Y38" s="367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73"/>
      <c r="Q39" s="1351">
        <f t="shared" si="11"/>
        <v>111</v>
      </c>
      <c r="R39" s="704" t="s">
        <v>14</v>
      </c>
      <c r="S39" s="705">
        <f t="shared" si="12"/>
        <v>100</v>
      </c>
      <c r="T39" s="704" t="s">
        <v>14</v>
      </c>
      <c r="U39" s="705">
        <f t="shared" si="13"/>
        <v>100</v>
      </c>
      <c r="V39" s="704" t="s">
        <v>14</v>
      </c>
      <c r="W39" s="705">
        <f t="shared" si="14"/>
        <v>100</v>
      </c>
      <c r="X39" s="1354"/>
      <c r="Y39" s="367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74"/>
      <c r="Q40" s="1351">
        <f t="shared" si="11"/>
        <v>111</v>
      </c>
      <c r="R40" s="704" t="s">
        <v>14</v>
      </c>
      <c r="S40" s="705">
        <f t="shared" si="12"/>
        <v>100</v>
      </c>
      <c r="T40" s="704" t="s">
        <v>14</v>
      </c>
      <c r="U40" s="705">
        <f t="shared" si="13"/>
        <v>100</v>
      </c>
      <c r="V40" s="704" t="s">
        <v>14</v>
      </c>
      <c r="W40" s="705">
        <f t="shared" si="14"/>
        <v>100</v>
      </c>
      <c r="X40" s="1354"/>
      <c r="Y40" s="3674"/>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61" t="str">
        <f>A41</f>
        <v>成交单价（元/平方米）</v>
      </c>
      <c r="Q41" s="3661"/>
      <c r="R41" s="3662">
        <f>E41</f>
        <v>0</v>
      </c>
      <c r="S41" s="3662"/>
      <c r="T41" s="3662">
        <f>G41</f>
        <v>0</v>
      </c>
      <c r="U41" s="3662"/>
      <c r="V41" s="3662">
        <f>I41</f>
        <v>0</v>
      </c>
      <c r="W41" s="3662"/>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3332</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ht="15">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7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75" thickBot="1">
      <c r="A7" s="361" t="s">
        <v>1678</v>
      </c>
      <c r="B7" s="362"/>
      <c r="C7" s="363">
        <f>'数据-取费表'!B2</f>
        <v>45407</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77" t="s">
        <v>1679</v>
      </c>
      <c r="Q7" s="3689"/>
      <c r="R7" s="700" t="s">
        <v>14</v>
      </c>
      <c r="S7" s="701">
        <f t="shared" ref="S7:S14" si="0">F7</f>
        <v>0</v>
      </c>
      <c r="T7" s="700" t="s">
        <v>14</v>
      </c>
      <c r="U7" s="701">
        <f t="shared" ref="U7:U14" si="1">H7</f>
        <v>0</v>
      </c>
      <c r="V7" s="700" t="s">
        <v>14</v>
      </c>
      <c r="W7" s="701">
        <f t="shared" ref="W7:W14" si="2">J7</f>
        <v>0</v>
      </c>
      <c r="X7" s="702"/>
      <c r="Y7" s="3677" t="s">
        <v>1679</v>
      </c>
      <c r="Z7" s="3676"/>
      <c r="AA7" s="703" t="e">
        <f>D7/F7</f>
        <v>#DIV/0!</v>
      </c>
      <c r="AB7" s="703" t="e">
        <f>D7/H7</f>
        <v>#DIV/0!</v>
      </c>
      <c r="AC7" s="703" t="e">
        <f>D7/J7</f>
        <v>#DIV/0!</v>
      </c>
    </row>
    <row r="8" spans="1:29" s="108"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36" si="3">D8/F8</f>
        <v>1</v>
      </c>
      <c r="AB8" s="703">
        <f t="shared" ref="AB8:AB36" si="4">D8/H8</f>
        <v>1</v>
      </c>
      <c r="AC8" s="703">
        <f t="shared" ref="AC8:AC36" si="5">D8/J8</f>
        <v>1</v>
      </c>
    </row>
    <row r="9" spans="1:29" s="108"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1" t="s">
        <v>1685</v>
      </c>
      <c r="Q9" s="1342" t="str">
        <f t="shared" ref="Q9:Q14" si="6">B9</f>
        <v>用途</v>
      </c>
      <c r="R9" s="700" t="s">
        <v>14</v>
      </c>
      <c r="S9" s="701">
        <f t="shared" si="0"/>
        <v>100</v>
      </c>
      <c r="T9" s="700" t="s">
        <v>14</v>
      </c>
      <c r="U9" s="701">
        <f t="shared" si="1"/>
        <v>100</v>
      </c>
      <c r="V9" s="700" t="s">
        <v>14</v>
      </c>
      <c r="W9" s="701">
        <f t="shared" si="2"/>
        <v>100</v>
      </c>
      <c r="X9" s="702"/>
      <c r="Y9" s="3559" t="s">
        <v>1686</v>
      </c>
      <c r="Z9" s="52" t="str">
        <f t="shared" ref="Z9:Z14" si="7">Q9</f>
        <v>用途</v>
      </c>
      <c r="AA9" s="703">
        <f t="shared" si="3"/>
        <v>1</v>
      </c>
      <c r="AB9" s="703">
        <f t="shared" si="4"/>
        <v>1</v>
      </c>
      <c r="AC9" s="703">
        <f t="shared" si="5"/>
        <v>1</v>
      </c>
    </row>
    <row r="10" spans="1:29" s="377" customFormat="1" ht="27">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1"/>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54" t="s">
        <v>1689</v>
      </c>
      <c r="B14" s="576" t="s">
        <v>1832</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8" t="s">
        <v>1690</v>
      </c>
      <c r="Q14" s="1351" t="str">
        <f t="shared" si="6"/>
        <v>交通便捷度</v>
      </c>
      <c r="R14" s="704" t="s">
        <v>14</v>
      </c>
      <c r="S14" s="705">
        <f t="shared" si="0"/>
        <v>100</v>
      </c>
      <c r="T14" s="704" t="s">
        <v>14</v>
      </c>
      <c r="U14" s="705">
        <f t="shared" si="1"/>
        <v>100</v>
      </c>
      <c r="V14" s="704" t="s">
        <v>14</v>
      </c>
      <c r="W14" s="705">
        <f t="shared" si="2"/>
        <v>100</v>
      </c>
      <c r="X14" s="1354"/>
      <c r="Y14" s="3668"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69"/>
      <c r="Q15" s="1351"/>
      <c r="R15" s="704"/>
      <c r="S15" s="705"/>
      <c r="T15" s="704"/>
      <c r="U15" s="705"/>
      <c r="V15" s="704"/>
      <c r="W15" s="705"/>
      <c r="X15" s="1354"/>
      <c r="Y15" s="3669"/>
      <c r="Z15" s="1355"/>
      <c r="AA15" s="1352">
        <v>1</v>
      </c>
      <c r="AB15" s="1352">
        <v>1</v>
      </c>
      <c r="AC15" s="1352">
        <v>1</v>
      </c>
    </row>
    <row r="16" spans="1:29" ht="15">
      <c r="A16" s="357"/>
      <c r="B16" s="578" t="s">
        <v>1811</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69"/>
      <c r="Q16" s="1351" t="str">
        <f>B16</f>
        <v>公共配套设施</v>
      </c>
      <c r="R16" s="704" t="s">
        <v>14</v>
      </c>
      <c r="S16" s="705">
        <f>F16</f>
        <v>100</v>
      </c>
      <c r="T16" s="704" t="s">
        <v>14</v>
      </c>
      <c r="U16" s="705">
        <f>H16</f>
        <v>100</v>
      </c>
      <c r="V16" s="704" t="s">
        <v>14</v>
      </c>
      <c r="W16" s="705">
        <f>J16</f>
        <v>100</v>
      </c>
      <c r="X16" s="1354"/>
      <c r="Y16" s="366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69"/>
      <c r="Q17" s="1351"/>
      <c r="R17" s="704"/>
      <c r="S17" s="705"/>
      <c r="T17" s="704"/>
      <c r="U17" s="705"/>
      <c r="V17" s="704"/>
      <c r="W17" s="705"/>
      <c r="X17" s="1354"/>
      <c r="Y17" s="3669"/>
      <c r="Z17" s="1355"/>
      <c r="AA17" s="1352">
        <v>1</v>
      </c>
      <c r="AB17" s="1352">
        <v>1</v>
      </c>
      <c r="AC17" s="1352">
        <v>1</v>
      </c>
    </row>
    <row r="18" spans="1:29" ht="15">
      <c r="A18" s="357"/>
      <c r="B18" s="580" t="s">
        <v>1812</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69"/>
      <c r="Q18" s="1351" t="str">
        <f>B18</f>
        <v>基础设施水平</v>
      </c>
      <c r="R18" s="704" t="s">
        <v>14</v>
      </c>
      <c r="S18" s="705">
        <f>F18</f>
        <v>100</v>
      </c>
      <c r="T18" s="704" t="s">
        <v>14</v>
      </c>
      <c r="U18" s="705">
        <f>H18</f>
        <v>100</v>
      </c>
      <c r="V18" s="704" t="s">
        <v>14</v>
      </c>
      <c r="W18" s="705">
        <f>J18</f>
        <v>100</v>
      </c>
      <c r="X18" s="1354"/>
      <c r="Y18" s="366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69"/>
      <c r="Q19" s="1351"/>
      <c r="R19" s="704"/>
      <c r="S19" s="705"/>
      <c r="T19" s="704"/>
      <c r="U19" s="705"/>
      <c r="V19" s="704"/>
      <c r="W19" s="705"/>
      <c r="X19" s="1354"/>
      <c r="Y19" s="3669"/>
      <c r="Z19" s="1355"/>
      <c r="AA19" s="1352">
        <v>1</v>
      </c>
      <c r="AB19" s="1352">
        <v>1</v>
      </c>
      <c r="AC19" s="1352">
        <v>1</v>
      </c>
    </row>
    <row r="20" spans="1:29" ht="15">
      <c r="A20" s="357"/>
      <c r="B20" s="578" t="s">
        <v>1833</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69"/>
      <c r="Q20" s="1351" t="str">
        <f>B20</f>
        <v>自然及人文环境</v>
      </c>
      <c r="R20" s="704" t="s">
        <v>14</v>
      </c>
      <c r="S20" s="705">
        <f>F20</f>
        <v>100</v>
      </c>
      <c r="T20" s="704" t="s">
        <v>14</v>
      </c>
      <c r="U20" s="705">
        <f>H20</f>
        <v>100</v>
      </c>
      <c r="V20" s="704" t="s">
        <v>14</v>
      </c>
      <c r="W20" s="705">
        <f>J20</f>
        <v>100</v>
      </c>
      <c r="X20" s="1354"/>
      <c r="Y20" s="366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69"/>
      <c r="Q21" s="1351"/>
      <c r="R21" s="704"/>
      <c r="S21" s="705"/>
      <c r="T21" s="704"/>
      <c r="U21" s="705"/>
      <c r="V21" s="704"/>
      <c r="W21" s="705"/>
      <c r="X21" s="1354"/>
      <c r="Y21" s="3669"/>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69"/>
      <c r="Q22" s="1351" t="str">
        <f>B22</f>
        <v>楼层</v>
      </c>
      <c r="R22" s="704" t="s">
        <v>14</v>
      </c>
      <c r="S22" s="705">
        <f>F22</f>
        <v>100</v>
      </c>
      <c r="T22" s="704" t="s">
        <v>14</v>
      </c>
      <c r="U22" s="705">
        <f>H22</f>
        <v>100</v>
      </c>
      <c r="V22" s="704" t="s">
        <v>14</v>
      </c>
      <c r="W22" s="705">
        <f>J22</f>
        <v>100</v>
      </c>
      <c r="X22" s="1354"/>
      <c r="Y22" s="366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69"/>
      <c r="Q23" s="1351">
        <f>B23</f>
        <v>111</v>
      </c>
      <c r="R23" s="704" t="s">
        <v>14</v>
      </c>
      <c r="S23" s="705">
        <f>F23</f>
        <v>100</v>
      </c>
      <c r="T23" s="704" t="s">
        <v>14</v>
      </c>
      <c r="U23" s="705">
        <f>H23</f>
        <v>100</v>
      </c>
      <c r="V23" s="704" t="s">
        <v>14</v>
      </c>
      <c r="W23" s="705">
        <f>J23</f>
        <v>100</v>
      </c>
      <c r="X23" s="1354"/>
      <c r="Y23" s="366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69"/>
      <c r="Q24" s="1351">
        <f t="shared" ref="Q24:Q36" si="11">B24</f>
        <v>111</v>
      </c>
      <c r="R24" s="704" t="s">
        <v>14</v>
      </c>
      <c r="S24" s="705">
        <f>F24</f>
        <v>100</v>
      </c>
      <c r="T24" s="704" t="s">
        <v>14</v>
      </c>
      <c r="U24" s="705">
        <f>H24</f>
        <v>100</v>
      </c>
      <c r="V24" s="704" t="s">
        <v>14</v>
      </c>
      <c r="W24" s="705">
        <f>J24</f>
        <v>100</v>
      </c>
      <c r="X24" s="1354"/>
      <c r="Y24" s="3669"/>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69"/>
      <c r="Q25" s="1342">
        <f t="shared" si="11"/>
        <v>111</v>
      </c>
      <c r="R25" s="700" t="s">
        <v>14</v>
      </c>
      <c r="S25" s="701">
        <f>F25</f>
        <v>100</v>
      </c>
      <c r="T25" s="700" t="s">
        <v>14</v>
      </c>
      <c r="U25" s="701">
        <f>H25</f>
        <v>100</v>
      </c>
      <c r="V25" s="700" t="s">
        <v>14</v>
      </c>
      <c r="W25" s="701">
        <f>J25</f>
        <v>100</v>
      </c>
      <c r="X25" s="702"/>
      <c r="Y25" s="3669"/>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3"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3"/>
      <c r="Q27" s="706" t="str">
        <f t="shared" si="11"/>
        <v>项目停车位配比</v>
      </c>
      <c r="R27" s="707" t="s">
        <v>14</v>
      </c>
      <c r="S27" s="708">
        <f t="shared" si="12"/>
        <v>100</v>
      </c>
      <c r="T27" s="707" t="s">
        <v>14</v>
      </c>
      <c r="U27" s="708">
        <f t="shared" si="13"/>
        <v>100</v>
      </c>
      <c r="V27" s="707" t="s">
        <v>14</v>
      </c>
      <c r="W27" s="708">
        <f t="shared" si="14"/>
        <v>100</v>
      </c>
      <c r="X27" s="709"/>
      <c r="Y27" s="3673"/>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3"/>
      <c r="Q28" s="1351" t="str">
        <f t="shared" si="11"/>
        <v>公共部分装修</v>
      </c>
      <c r="R28" s="704" t="s">
        <v>14</v>
      </c>
      <c r="S28" s="705">
        <f t="shared" si="12"/>
        <v>100</v>
      </c>
      <c r="T28" s="704" t="s">
        <v>14</v>
      </c>
      <c r="U28" s="705">
        <f t="shared" si="13"/>
        <v>100</v>
      </c>
      <c r="V28" s="704" t="s">
        <v>14</v>
      </c>
      <c r="W28" s="705">
        <f t="shared" si="14"/>
        <v>100</v>
      </c>
      <c r="X28" s="1354"/>
      <c r="Y28" s="3673"/>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3"/>
      <c r="Q29" s="1351" t="str">
        <f t="shared" si="11"/>
        <v>成新率</v>
      </c>
      <c r="R29" s="704" t="s">
        <v>14</v>
      </c>
      <c r="S29" s="705" t="e">
        <f t="shared" si="12"/>
        <v>#N/A</v>
      </c>
      <c r="T29" s="704" t="s">
        <v>14</v>
      </c>
      <c r="U29" s="705" t="e">
        <f t="shared" si="13"/>
        <v>#N/A</v>
      </c>
      <c r="V29" s="704" t="s">
        <v>14</v>
      </c>
      <c r="W29" s="705" t="e">
        <f t="shared" si="14"/>
        <v>#N/A</v>
      </c>
      <c r="X29" s="1354"/>
      <c r="Y29" s="3673"/>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3"/>
      <c r="Q30" s="1351" t="str">
        <f t="shared" si="11"/>
        <v>物业等级</v>
      </c>
      <c r="R30" s="704" t="s">
        <v>14</v>
      </c>
      <c r="S30" s="705">
        <f t="shared" si="12"/>
        <v>100</v>
      </c>
      <c r="T30" s="704" t="s">
        <v>14</v>
      </c>
      <c r="U30" s="705">
        <f t="shared" si="13"/>
        <v>100</v>
      </c>
      <c r="V30" s="704" t="s">
        <v>14</v>
      </c>
      <c r="W30" s="705">
        <f t="shared" si="14"/>
        <v>100</v>
      </c>
      <c r="X30" s="1354"/>
      <c r="Y30" s="3673"/>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3"/>
      <c r="Q31" s="1342" t="str">
        <f t="shared" si="11"/>
        <v>停车位面积</v>
      </c>
      <c r="R31" s="700" t="s">
        <v>14</v>
      </c>
      <c r="S31" s="701" t="e">
        <f t="shared" si="12"/>
        <v>#N/A</v>
      </c>
      <c r="T31" s="700" t="s">
        <v>14</v>
      </c>
      <c r="U31" s="701" t="e">
        <f t="shared" si="13"/>
        <v>#N/A</v>
      </c>
      <c r="V31" s="700" t="s">
        <v>14</v>
      </c>
      <c r="W31" s="701" t="e">
        <f t="shared" si="14"/>
        <v>#N/A</v>
      </c>
      <c r="X31" s="702"/>
      <c r="Y31" s="3673"/>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3" t="s">
        <v>1695</v>
      </c>
      <c r="Q32" s="1351" t="str">
        <f t="shared" si="11"/>
        <v>车位类型</v>
      </c>
      <c r="R32" s="704" t="s">
        <v>14</v>
      </c>
      <c r="S32" s="705">
        <f t="shared" si="12"/>
        <v>100</v>
      </c>
      <c r="T32" s="704" t="s">
        <v>14</v>
      </c>
      <c r="U32" s="705">
        <f t="shared" si="13"/>
        <v>100</v>
      </c>
      <c r="V32" s="704" t="s">
        <v>14</v>
      </c>
      <c r="W32" s="705">
        <f t="shared" si="14"/>
        <v>100</v>
      </c>
      <c r="X32" s="1354"/>
      <c r="Y32" s="3673"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3"/>
      <c r="Q33" s="1351" t="str">
        <f t="shared" si="11"/>
        <v>是否直接入户</v>
      </c>
      <c r="R33" s="704" t="s">
        <v>14</v>
      </c>
      <c r="S33" s="705">
        <f t="shared" si="12"/>
        <v>100</v>
      </c>
      <c r="T33" s="704" t="s">
        <v>14</v>
      </c>
      <c r="U33" s="705">
        <f t="shared" si="13"/>
        <v>100</v>
      </c>
      <c r="V33" s="704" t="s">
        <v>14</v>
      </c>
      <c r="W33" s="705">
        <f t="shared" si="14"/>
        <v>100</v>
      </c>
      <c r="X33" s="1354"/>
      <c r="Y33" s="367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3"/>
      <c r="Q34" s="1351">
        <f t="shared" si="11"/>
        <v>111</v>
      </c>
      <c r="R34" s="704" t="s">
        <v>14</v>
      </c>
      <c r="S34" s="705">
        <f t="shared" si="12"/>
        <v>100</v>
      </c>
      <c r="T34" s="704" t="s">
        <v>14</v>
      </c>
      <c r="U34" s="705">
        <f t="shared" si="13"/>
        <v>100</v>
      </c>
      <c r="V34" s="704" t="s">
        <v>14</v>
      </c>
      <c r="W34" s="705">
        <f t="shared" si="14"/>
        <v>100</v>
      </c>
      <c r="X34" s="1354"/>
      <c r="Y34" s="367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3"/>
      <c r="Q35" s="706">
        <f t="shared" si="11"/>
        <v>111</v>
      </c>
      <c r="R35" s="707" t="s">
        <v>14</v>
      </c>
      <c r="S35" s="708">
        <f t="shared" si="12"/>
        <v>100</v>
      </c>
      <c r="T35" s="707" t="s">
        <v>14</v>
      </c>
      <c r="U35" s="708">
        <f t="shared" si="13"/>
        <v>100</v>
      </c>
      <c r="V35" s="707" t="s">
        <v>14</v>
      </c>
      <c r="W35" s="708">
        <f t="shared" si="14"/>
        <v>100</v>
      </c>
      <c r="X35" s="709"/>
      <c r="Y35" s="367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3"/>
      <c r="Q36" s="1351">
        <f t="shared" si="11"/>
        <v>111</v>
      </c>
      <c r="R36" s="704" t="s">
        <v>14</v>
      </c>
      <c r="S36" s="705">
        <f t="shared" si="12"/>
        <v>100</v>
      </c>
      <c r="T36" s="704" t="s">
        <v>14</v>
      </c>
      <c r="U36" s="705">
        <f t="shared" si="13"/>
        <v>100</v>
      </c>
      <c r="V36" s="704" t="s">
        <v>14</v>
      </c>
      <c r="W36" s="705">
        <f t="shared" si="14"/>
        <v>100</v>
      </c>
      <c r="X36" s="1354"/>
      <c r="Y36" s="3673"/>
      <c r="Z36" s="1355">
        <f t="shared" si="15"/>
        <v>111</v>
      </c>
      <c r="AA36" s="1352">
        <f t="shared" si="3"/>
        <v>1</v>
      </c>
      <c r="AB36" s="1352">
        <f t="shared" si="4"/>
        <v>1</v>
      </c>
      <c r="AC36" s="1352">
        <f t="shared" si="5"/>
        <v>1</v>
      </c>
    </row>
    <row r="37" spans="1:29" ht="15">
      <c r="A37" s="429" t="s">
        <v>1843</v>
      </c>
      <c r="B37" s="1972" t="s">
        <v>3353</v>
      </c>
      <c r="C37" s="1153" t="s">
        <v>0</v>
      </c>
      <c r="D37" s="1154"/>
      <c r="E37" s="1155"/>
      <c r="F37" s="1156"/>
      <c r="G37" s="1157"/>
      <c r="H37" s="1158"/>
      <c r="I37" s="1155"/>
      <c r="J37" s="1158"/>
      <c r="K37" s="567"/>
      <c r="L37" s="2720"/>
      <c r="M37" s="2721"/>
      <c r="N37" s="2712"/>
      <c r="O37" s="2721"/>
      <c r="P37" s="3661" t="str">
        <f>A37</f>
        <v>成交单价</v>
      </c>
      <c r="Q37" s="3661"/>
      <c r="R37" s="3662">
        <f>E37</f>
        <v>0</v>
      </c>
      <c r="S37" s="3662"/>
      <c r="T37" s="3662">
        <f>G37</f>
        <v>0</v>
      </c>
      <c r="U37" s="3662"/>
      <c r="V37" s="3662">
        <f>I37</f>
        <v>0</v>
      </c>
      <c r="W37" s="3662"/>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0"/>
      <c r="M39" s="2721"/>
      <c r="N39" s="2721"/>
      <c r="O39" s="2721"/>
      <c r="P39" s="3732" t="str">
        <f>A39</f>
        <v>估价对象XX用房的比较价值（楼面单价，元/平方米）</v>
      </c>
      <c r="Q39" s="3733"/>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3333</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ht="15">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7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75" thickBot="1">
      <c r="A7" s="361" t="s">
        <v>1678</v>
      </c>
      <c r="B7" s="362"/>
      <c r="C7" s="363">
        <f>'数据-取费表'!B2</f>
        <v>45407</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77" t="s">
        <v>1679</v>
      </c>
      <c r="Q7" s="3689"/>
      <c r="R7" s="700" t="s">
        <v>14</v>
      </c>
      <c r="S7" s="701">
        <f t="shared" ref="S7:S14" si="0">F7</f>
        <v>0</v>
      </c>
      <c r="T7" s="700" t="s">
        <v>14</v>
      </c>
      <c r="U7" s="701">
        <f t="shared" ref="U7:U14" si="1">H7</f>
        <v>0</v>
      </c>
      <c r="V7" s="700" t="s">
        <v>14</v>
      </c>
      <c r="W7" s="701">
        <f t="shared" ref="W7:W14" si="2">J7</f>
        <v>0</v>
      </c>
      <c r="X7" s="702"/>
      <c r="Y7" s="3677" t="s">
        <v>1679</v>
      </c>
      <c r="Z7" s="3676"/>
      <c r="AA7" s="703" t="e">
        <f>D7/F7</f>
        <v>#DIV/0!</v>
      </c>
      <c r="AB7" s="703" t="e">
        <f>D7/H7</f>
        <v>#DIV/0!</v>
      </c>
      <c r="AC7" s="703" t="e">
        <f>D7/J7</f>
        <v>#DIV/0!</v>
      </c>
    </row>
    <row r="8" spans="1:29" s="108"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34" si="3">D8/F8</f>
        <v>1</v>
      </c>
      <c r="AB8" s="703">
        <f t="shared" ref="AB8:AB34" si="4">D8/H8</f>
        <v>1</v>
      </c>
      <c r="AC8" s="703">
        <f t="shared" ref="AC8:AC34" si="5">D8/J8</f>
        <v>1</v>
      </c>
    </row>
    <row r="9" spans="1:29" s="108"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1" t="s">
        <v>1685</v>
      </c>
      <c r="Q9" s="1342" t="str">
        <f t="shared" ref="Q9:Q14" si="6">B9</f>
        <v>用途</v>
      </c>
      <c r="R9" s="700" t="s">
        <v>14</v>
      </c>
      <c r="S9" s="701">
        <f t="shared" si="0"/>
        <v>100</v>
      </c>
      <c r="T9" s="700" t="s">
        <v>14</v>
      </c>
      <c r="U9" s="701">
        <f t="shared" si="1"/>
        <v>100</v>
      </c>
      <c r="V9" s="700" t="s">
        <v>14</v>
      </c>
      <c r="W9" s="701">
        <f t="shared" si="2"/>
        <v>100</v>
      </c>
      <c r="X9" s="702"/>
      <c r="Y9" s="3559" t="s">
        <v>1686</v>
      </c>
      <c r="Z9" s="52" t="str">
        <f t="shared" ref="Z9:Z14" si="7">Q9</f>
        <v>用途</v>
      </c>
      <c r="AA9" s="703">
        <f t="shared" si="3"/>
        <v>1</v>
      </c>
      <c r="AB9" s="703">
        <f t="shared" si="4"/>
        <v>1</v>
      </c>
      <c r="AC9" s="703">
        <f t="shared" si="5"/>
        <v>1</v>
      </c>
    </row>
    <row r="10" spans="1:29" s="377" customFormat="1" ht="27">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1"/>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90" t="s">
        <v>1689</v>
      </c>
      <c r="B14" s="61" t="s">
        <v>1832</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8" t="s">
        <v>1690</v>
      </c>
      <c r="Q14" s="1351" t="str">
        <f t="shared" si="6"/>
        <v>交通便捷度</v>
      </c>
      <c r="R14" s="704" t="s">
        <v>14</v>
      </c>
      <c r="S14" s="705">
        <f t="shared" si="0"/>
        <v>100</v>
      </c>
      <c r="T14" s="704" t="s">
        <v>14</v>
      </c>
      <c r="U14" s="705">
        <f t="shared" si="1"/>
        <v>100</v>
      </c>
      <c r="V14" s="704" t="s">
        <v>14</v>
      </c>
      <c r="W14" s="705">
        <f t="shared" si="2"/>
        <v>100</v>
      </c>
      <c r="X14" s="1354"/>
      <c r="Y14" s="3668"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69"/>
      <c r="Q15" s="1351"/>
      <c r="R15" s="704"/>
      <c r="S15" s="705"/>
      <c r="T15" s="704"/>
      <c r="U15" s="705"/>
      <c r="V15" s="704"/>
      <c r="W15" s="705"/>
      <c r="X15" s="1354"/>
      <c r="Y15" s="3669"/>
      <c r="Z15" s="1355"/>
      <c r="AA15" s="1352">
        <v>1</v>
      </c>
      <c r="AB15" s="1352">
        <v>1</v>
      </c>
      <c r="AC15" s="1352">
        <v>1</v>
      </c>
    </row>
    <row r="16" spans="1:29" ht="15">
      <c r="A16" s="378"/>
      <c r="B16" s="401" t="s">
        <v>1811</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69"/>
      <c r="Q16" s="1351" t="str">
        <f>B16</f>
        <v>公共配套设施</v>
      </c>
      <c r="R16" s="704" t="s">
        <v>14</v>
      </c>
      <c r="S16" s="705">
        <f>F16</f>
        <v>100</v>
      </c>
      <c r="T16" s="704" t="s">
        <v>14</v>
      </c>
      <c r="U16" s="705">
        <f>H16</f>
        <v>100</v>
      </c>
      <c r="V16" s="704" t="s">
        <v>14</v>
      </c>
      <c r="W16" s="705">
        <f>J16</f>
        <v>100</v>
      </c>
      <c r="X16" s="1354"/>
      <c r="Y16" s="366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69"/>
      <c r="Q17" s="1351"/>
      <c r="R17" s="704"/>
      <c r="S17" s="705"/>
      <c r="T17" s="704"/>
      <c r="U17" s="705"/>
      <c r="V17" s="704"/>
      <c r="W17" s="705"/>
      <c r="X17" s="1354"/>
      <c r="Y17" s="3669"/>
      <c r="Z17" s="1355"/>
      <c r="AA17" s="1352">
        <v>1</v>
      </c>
      <c r="AB17" s="1352">
        <v>1</v>
      </c>
      <c r="AC17" s="1352">
        <v>1</v>
      </c>
    </row>
    <row r="18" spans="1:29" ht="15">
      <c r="A18" s="378"/>
      <c r="B18" s="1130" t="s">
        <v>1812</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69"/>
      <c r="Q18" s="1351" t="str">
        <f>B18</f>
        <v>基础设施水平</v>
      </c>
      <c r="R18" s="704" t="s">
        <v>14</v>
      </c>
      <c r="S18" s="705">
        <f>F18</f>
        <v>100</v>
      </c>
      <c r="T18" s="704" t="s">
        <v>14</v>
      </c>
      <c r="U18" s="705">
        <f>H18</f>
        <v>100</v>
      </c>
      <c r="V18" s="704" t="s">
        <v>14</v>
      </c>
      <c r="W18" s="705">
        <f>J18</f>
        <v>100</v>
      </c>
      <c r="X18" s="1354"/>
      <c r="Y18" s="366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69"/>
      <c r="Q19" s="1351"/>
      <c r="R19" s="704"/>
      <c r="S19" s="705"/>
      <c r="T19" s="704"/>
      <c r="U19" s="705"/>
      <c r="V19" s="704"/>
      <c r="W19" s="705"/>
      <c r="X19" s="1354"/>
      <c r="Y19" s="3669"/>
      <c r="Z19" s="1355"/>
      <c r="AA19" s="1352">
        <v>1</v>
      </c>
      <c r="AB19" s="1352">
        <v>1</v>
      </c>
      <c r="AC19" s="1352">
        <v>1</v>
      </c>
    </row>
    <row r="20" spans="1:29" ht="15">
      <c r="A20" s="378"/>
      <c r="B20" s="401" t="s">
        <v>1833</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69"/>
      <c r="Q20" s="1351" t="str">
        <f>B20</f>
        <v>自然及人文环境</v>
      </c>
      <c r="R20" s="704" t="s">
        <v>14</v>
      </c>
      <c r="S20" s="705">
        <f>F20</f>
        <v>100</v>
      </c>
      <c r="T20" s="704" t="s">
        <v>14</v>
      </c>
      <c r="U20" s="705">
        <f>H20</f>
        <v>100</v>
      </c>
      <c r="V20" s="704" t="s">
        <v>14</v>
      </c>
      <c r="W20" s="705">
        <f>J20</f>
        <v>100</v>
      </c>
      <c r="X20" s="1354"/>
      <c r="Y20" s="366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69"/>
      <c r="Q21" s="1351"/>
      <c r="R21" s="704"/>
      <c r="S21" s="705"/>
      <c r="T21" s="704"/>
      <c r="U21" s="705"/>
      <c r="V21" s="704"/>
      <c r="W21" s="705"/>
      <c r="X21" s="1354"/>
      <c r="Y21" s="3669"/>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69"/>
      <c r="Q22" s="1351" t="str">
        <f>B22</f>
        <v>楼层</v>
      </c>
      <c r="R22" s="704" t="s">
        <v>14</v>
      </c>
      <c r="S22" s="705">
        <f>F22</f>
        <v>100</v>
      </c>
      <c r="T22" s="704" t="s">
        <v>14</v>
      </c>
      <c r="U22" s="705">
        <f>H22</f>
        <v>100</v>
      </c>
      <c r="V22" s="704" t="s">
        <v>14</v>
      </c>
      <c r="W22" s="705">
        <f>J22</f>
        <v>100</v>
      </c>
      <c r="X22" s="1354"/>
      <c r="Y22" s="366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69"/>
      <c r="Q23" s="1351">
        <f>B23</f>
        <v>111</v>
      </c>
      <c r="R23" s="704" t="s">
        <v>14</v>
      </c>
      <c r="S23" s="705">
        <f>F23</f>
        <v>100</v>
      </c>
      <c r="T23" s="704" t="s">
        <v>14</v>
      </c>
      <c r="U23" s="705">
        <f>H23</f>
        <v>100</v>
      </c>
      <c r="V23" s="704" t="s">
        <v>14</v>
      </c>
      <c r="W23" s="705">
        <f>J23</f>
        <v>100</v>
      </c>
      <c r="X23" s="1354"/>
      <c r="Y23" s="366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69"/>
      <c r="Q24" s="1351">
        <f t="shared" ref="Q24:Q34" si="11">B24</f>
        <v>111</v>
      </c>
      <c r="R24" s="704" t="s">
        <v>14</v>
      </c>
      <c r="S24" s="705">
        <f>F24</f>
        <v>100</v>
      </c>
      <c r="T24" s="704" t="s">
        <v>14</v>
      </c>
      <c r="U24" s="705">
        <f>H24</f>
        <v>100</v>
      </c>
      <c r="V24" s="704" t="s">
        <v>14</v>
      </c>
      <c r="W24" s="705">
        <f>J24</f>
        <v>100</v>
      </c>
      <c r="X24" s="1354"/>
      <c r="Y24" s="3669"/>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69"/>
      <c r="Q25" s="1342">
        <f t="shared" si="11"/>
        <v>111</v>
      </c>
      <c r="R25" s="700" t="s">
        <v>14</v>
      </c>
      <c r="S25" s="701">
        <f>F25</f>
        <v>100</v>
      </c>
      <c r="T25" s="700" t="s">
        <v>14</v>
      </c>
      <c r="U25" s="701">
        <f>H25</f>
        <v>100</v>
      </c>
      <c r="V25" s="700" t="s">
        <v>14</v>
      </c>
      <c r="W25" s="701">
        <f>J25</f>
        <v>100</v>
      </c>
      <c r="X25" s="702"/>
      <c r="Y25" s="3669"/>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4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3"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3"/>
      <c r="Q27" s="706" t="str">
        <f t="shared" si="11"/>
        <v>成新率</v>
      </c>
      <c r="R27" s="707" t="s">
        <v>14</v>
      </c>
      <c r="S27" s="708" t="e">
        <f t="shared" si="12"/>
        <v>#N/A</v>
      </c>
      <c r="T27" s="707" t="s">
        <v>14</v>
      </c>
      <c r="U27" s="708" t="e">
        <f t="shared" si="13"/>
        <v>#N/A</v>
      </c>
      <c r="V27" s="707" t="s">
        <v>14</v>
      </c>
      <c r="W27" s="708" t="e">
        <f t="shared" si="14"/>
        <v>#N/A</v>
      </c>
      <c r="X27" s="709"/>
      <c r="Y27" s="3673"/>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3"/>
      <c r="Q28" s="1351" t="str">
        <f t="shared" si="11"/>
        <v>物业等级</v>
      </c>
      <c r="R28" s="704" t="s">
        <v>14</v>
      </c>
      <c r="S28" s="705">
        <f t="shared" si="12"/>
        <v>100</v>
      </c>
      <c r="T28" s="704" t="s">
        <v>14</v>
      </c>
      <c r="U28" s="705">
        <f t="shared" si="13"/>
        <v>100</v>
      </c>
      <c r="V28" s="704" t="s">
        <v>14</v>
      </c>
      <c r="W28" s="705">
        <f t="shared" si="14"/>
        <v>100</v>
      </c>
      <c r="X28" s="1354"/>
      <c r="Y28" s="3673"/>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3"/>
      <c r="Q29" s="1351" t="str">
        <f t="shared" si="11"/>
        <v>有无电梯</v>
      </c>
      <c r="R29" s="704" t="s">
        <v>14</v>
      </c>
      <c r="S29" s="705">
        <f t="shared" si="12"/>
        <v>100</v>
      </c>
      <c r="T29" s="704" t="s">
        <v>14</v>
      </c>
      <c r="U29" s="705">
        <f t="shared" si="13"/>
        <v>100</v>
      </c>
      <c r="V29" s="704" t="s">
        <v>14</v>
      </c>
      <c r="W29" s="705">
        <f t="shared" si="14"/>
        <v>100</v>
      </c>
      <c r="X29" s="1354"/>
      <c r="Y29" s="3673"/>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3"/>
      <c r="Q30" s="1351" t="str">
        <f t="shared" si="11"/>
        <v>建筑面积</v>
      </c>
      <c r="R30" s="704" t="s">
        <v>14</v>
      </c>
      <c r="S30" s="705" t="e">
        <f t="shared" si="12"/>
        <v>#N/A</v>
      </c>
      <c r="T30" s="704" t="s">
        <v>14</v>
      </c>
      <c r="U30" s="705" t="e">
        <f t="shared" si="13"/>
        <v>#N/A</v>
      </c>
      <c r="V30" s="704" t="s">
        <v>14</v>
      </c>
      <c r="W30" s="705" t="e">
        <f t="shared" si="14"/>
        <v>#N/A</v>
      </c>
      <c r="X30" s="1354"/>
      <c r="Y30" s="3673"/>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3"/>
      <c r="Q31" s="1342" t="str">
        <f t="shared" si="11"/>
        <v>是否封闭</v>
      </c>
      <c r="R31" s="700" t="s">
        <v>14</v>
      </c>
      <c r="S31" s="701">
        <f t="shared" si="12"/>
        <v>100</v>
      </c>
      <c r="T31" s="700" t="s">
        <v>14</v>
      </c>
      <c r="U31" s="701">
        <f t="shared" si="13"/>
        <v>100</v>
      </c>
      <c r="V31" s="700" t="s">
        <v>14</v>
      </c>
      <c r="W31" s="701">
        <f t="shared" si="14"/>
        <v>100</v>
      </c>
      <c r="X31" s="702"/>
      <c r="Y31" s="367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3" t="s">
        <v>1695</v>
      </c>
      <c r="Q32" s="1351">
        <f t="shared" si="11"/>
        <v>111</v>
      </c>
      <c r="R32" s="704" t="s">
        <v>14</v>
      </c>
      <c r="S32" s="705">
        <f t="shared" si="12"/>
        <v>100</v>
      </c>
      <c r="T32" s="704" t="s">
        <v>14</v>
      </c>
      <c r="U32" s="705">
        <f t="shared" si="13"/>
        <v>100</v>
      </c>
      <c r="V32" s="704" t="s">
        <v>14</v>
      </c>
      <c r="W32" s="705">
        <f t="shared" si="14"/>
        <v>100</v>
      </c>
      <c r="X32" s="1354"/>
      <c r="Y32" s="3673"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3"/>
      <c r="Q33" s="1351">
        <f t="shared" si="11"/>
        <v>111</v>
      </c>
      <c r="R33" s="704" t="s">
        <v>14</v>
      </c>
      <c r="S33" s="705">
        <f t="shared" si="12"/>
        <v>100</v>
      </c>
      <c r="T33" s="704" t="s">
        <v>14</v>
      </c>
      <c r="U33" s="705">
        <f t="shared" si="13"/>
        <v>100</v>
      </c>
      <c r="V33" s="704" t="s">
        <v>14</v>
      </c>
      <c r="W33" s="705">
        <f t="shared" si="14"/>
        <v>100</v>
      </c>
      <c r="X33" s="1354"/>
      <c r="Y33" s="367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673"/>
      <c r="Q34" s="1351">
        <f t="shared" si="11"/>
        <v>111</v>
      </c>
      <c r="R34" s="704" t="s">
        <v>14</v>
      </c>
      <c r="S34" s="705">
        <f t="shared" si="12"/>
        <v>100</v>
      </c>
      <c r="T34" s="704" t="s">
        <v>14</v>
      </c>
      <c r="U34" s="705">
        <f t="shared" si="13"/>
        <v>100</v>
      </c>
      <c r="V34" s="704" t="s">
        <v>14</v>
      </c>
      <c r="W34" s="705">
        <f t="shared" si="14"/>
        <v>100</v>
      </c>
      <c r="X34" s="1354"/>
      <c r="Y34" s="3673"/>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0"/>
      <c r="M35" s="2721"/>
      <c r="N35" s="2712"/>
      <c r="O35" s="2721"/>
      <c r="P35" s="3661" t="str">
        <f>A35</f>
        <v>成交单价（元/平方米）</v>
      </c>
      <c r="Q35" s="3661"/>
      <c r="R35" s="3662">
        <f>E35</f>
        <v>0</v>
      </c>
      <c r="S35" s="3662"/>
      <c r="T35" s="3662">
        <f>G35</f>
        <v>0</v>
      </c>
      <c r="U35" s="3662"/>
      <c r="V35" s="3662">
        <f>I35</f>
        <v>0</v>
      </c>
      <c r="W35" s="3662"/>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0"/>
      <c r="M37" s="2721"/>
      <c r="N37" s="2721"/>
      <c r="O37" s="2721"/>
      <c r="P37" s="3732" t="str">
        <f>A37</f>
        <v>估价对象XX用房的比较价值（楼面单价，元/平方米）</v>
      </c>
      <c r="Q37" s="3733"/>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30" ht="15">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30" ht="15.7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30" s="108" customFormat="1" ht="15.75" thickBot="1">
      <c r="A7" s="361" t="s">
        <v>1678</v>
      </c>
      <c r="B7" s="362"/>
      <c r="C7" s="363">
        <f>'数据-取费表'!B2</f>
        <v>45407</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30" s="108"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77" t="s">
        <v>1682</v>
      </c>
      <c r="Q8" s="3676"/>
      <c r="R8" s="700" t="s">
        <v>14</v>
      </c>
      <c r="S8" s="701">
        <f t="shared" si="0"/>
        <v>0</v>
      </c>
      <c r="T8" s="700" t="s">
        <v>14</v>
      </c>
      <c r="U8" s="701">
        <f t="shared" si="1"/>
        <v>0</v>
      </c>
      <c r="V8" s="700" t="s">
        <v>14</v>
      </c>
      <c r="W8" s="701">
        <f t="shared" si="2"/>
        <v>0</v>
      </c>
      <c r="X8" s="702"/>
      <c r="Y8" s="3677" t="s">
        <v>1682</v>
      </c>
      <c r="Z8" s="3676"/>
      <c r="AA8" s="703" t="e">
        <f t="shared" ref="AA8:AA45" si="3">D8/F8</f>
        <v>#DIV/0!</v>
      </c>
      <c r="AB8" s="703" t="e">
        <f t="shared" ref="AB8:AB45" si="4">D8/H8</f>
        <v>#DIV/0!</v>
      </c>
      <c r="AC8" s="703" t="e">
        <f t="shared" ref="AC8:AC45" si="5">D8/J8</f>
        <v>#DIV/0!</v>
      </c>
    </row>
    <row r="9" spans="1:30" s="108"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146</v>
      </c>
      <c r="G10" s="413"/>
      <c r="H10" s="126">
        <f>ROUND(100/'数据-取费表'!G16,0)</f>
        <v>146</v>
      </c>
      <c r="I10" s="413"/>
      <c r="J10" s="126">
        <f>ROUND(100/'数据-取费表'!G16,0)</f>
        <v>146</v>
      </c>
      <c r="K10" s="619"/>
      <c r="L10" s="2715"/>
      <c r="M10" s="2716"/>
      <c r="N10" s="2716"/>
      <c r="O10" s="2769"/>
      <c r="P10" s="3661"/>
      <c r="Q10" s="1342" t="str">
        <f t="shared" si="6"/>
        <v>土地使用年限（年）</v>
      </c>
      <c r="R10" s="700" t="s">
        <v>14</v>
      </c>
      <c r="S10" s="701">
        <f t="shared" si="0"/>
        <v>146</v>
      </c>
      <c r="T10" s="700" t="s">
        <v>14</v>
      </c>
      <c r="U10" s="701">
        <f t="shared" si="1"/>
        <v>146</v>
      </c>
      <c r="V10" s="700" t="s">
        <v>14</v>
      </c>
      <c r="W10" s="701">
        <f t="shared" si="2"/>
        <v>146</v>
      </c>
      <c r="X10" s="702"/>
      <c r="Y10" s="3559"/>
      <c r="Z10" s="52" t="str">
        <f t="shared" si="7"/>
        <v>土地使用年限（年）</v>
      </c>
      <c r="AA10" s="703">
        <f t="shared" si="3"/>
        <v>0.68493150684931503</v>
      </c>
      <c r="AB10" s="703">
        <f t="shared" si="4"/>
        <v>0.68493150684931503</v>
      </c>
      <c r="AC10" s="703">
        <f t="shared" si="5"/>
        <v>0.68493150684931503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1"/>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1"/>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15">
      <c r="A15" s="390" t="s">
        <v>1689</v>
      </c>
      <c r="B15" s="61" t="s">
        <v>1256</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8" t="s">
        <v>1690</v>
      </c>
      <c r="Q15" s="1351" t="str">
        <f t="shared" si="6"/>
        <v>居住社区成熟度</v>
      </c>
      <c r="R15" s="704" t="s">
        <v>14</v>
      </c>
      <c r="S15" s="705">
        <f t="shared" si="0"/>
        <v>100</v>
      </c>
      <c r="T15" s="704" t="s">
        <v>14</v>
      </c>
      <c r="U15" s="705">
        <f t="shared" si="1"/>
        <v>100</v>
      </c>
      <c r="V15" s="704" t="s">
        <v>14</v>
      </c>
      <c r="W15" s="705">
        <f t="shared" si="2"/>
        <v>100</v>
      </c>
      <c r="X15" s="1354"/>
      <c r="Y15" s="3668"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69"/>
      <c r="Q16" s="1351"/>
      <c r="R16" s="704"/>
      <c r="S16" s="705"/>
      <c r="T16" s="704"/>
      <c r="U16" s="705"/>
      <c r="V16" s="704"/>
      <c r="W16" s="705"/>
      <c r="X16" s="1354"/>
      <c r="Y16" s="3669"/>
      <c r="Z16" s="1355"/>
      <c r="AA16" s="1352">
        <v>1</v>
      </c>
      <c r="AB16" s="1352">
        <v>1</v>
      </c>
      <c r="AC16" s="1352">
        <v>1</v>
      </c>
    </row>
    <row r="17" spans="1:29" ht="15">
      <c r="A17" s="378"/>
      <c r="B17" s="401" t="s">
        <v>1776</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69"/>
      <c r="Q17" s="1351" t="str">
        <f>B17</f>
        <v>商业繁华度</v>
      </c>
      <c r="R17" s="704" t="s">
        <v>14</v>
      </c>
      <c r="S17" s="705">
        <f>F17</f>
        <v>100</v>
      </c>
      <c r="T17" s="704" t="s">
        <v>14</v>
      </c>
      <c r="U17" s="705">
        <f>H17</f>
        <v>100</v>
      </c>
      <c r="V17" s="704" t="s">
        <v>14</v>
      </c>
      <c r="W17" s="705">
        <f>J17</f>
        <v>100</v>
      </c>
      <c r="X17" s="1354"/>
      <c r="Y17" s="366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69"/>
      <c r="Q18" s="1351"/>
      <c r="R18" s="704"/>
      <c r="S18" s="705"/>
      <c r="T18" s="704"/>
      <c r="U18" s="705"/>
      <c r="V18" s="704"/>
      <c r="W18" s="705"/>
      <c r="X18" s="1354"/>
      <c r="Y18" s="3669"/>
      <c r="Z18" s="1355"/>
      <c r="AA18" s="1352">
        <v>1</v>
      </c>
      <c r="AB18" s="1352">
        <v>1</v>
      </c>
      <c r="AC18" s="1352">
        <v>1</v>
      </c>
    </row>
    <row r="19" spans="1:29" ht="15">
      <c r="A19" s="378"/>
      <c r="B19" s="401" t="s">
        <v>1810</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69"/>
      <c r="Q19" s="1351" t="str">
        <f>B19</f>
        <v>办公集聚程度</v>
      </c>
      <c r="R19" s="704" t="s">
        <v>14</v>
      </c>
      <c r="S19" s="705">
        <f>F19</f>
        <v>100</v>
      </c>
      <c r="T19" s="704" t="s">
        <v>14</v>
      </c>
      <c r="U19" s="705">
        <f>H19</f>
        <v>100</v>
      </c>
      <c r="V19" s="704" t="s">
        <v>14</v>
      </c>
      <c r="W19" s="705">
        <f>J19</f>
        <v>100</v>
      </c>
      <c r="X19" s="1354"/>
      <c r="Y19" s="366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69"/>
      <c r="Q20" s="1351"/>
      <c r="R20" s="704"/>
      <c r="S20" s="705"/>
      <c r="T20" s="704"/>
      <c r="U20" s="705"/>
      <c r="V20" s="704"/>
      <c r="W20" s="705"/>
      <c r="X20" s="1354"/>
      <c r="Y20" s="3669"/>
      <c r="Z20" s="1355"/>
      <c r="AA20" s="1352">
        <v>1</v>
      </c>
      <c r="AB20" s="1352">
        <v>1</v>
      </c>
      <c r="AC20" s="1352">
        <v>1</v>
      </c>
    </row>
    <row r="21" spans="1:29" ht="15">
      <c r="A21" s="378"/>
      <c r="B21" s="401" t="s">
        <v>1832</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69"/>
      <c r="Q21" s="1351" t="str">
        <f>B21</f>
        <v>交通便捷度</v>
      </c>
      <c r="R21" s="704" t="s">
        <v>14</v>
      </c>
      <c r="S21" s="705">
        <f>F21</f>
        <v>100</v>
      </c>
      <c r="T21" s="704" t="s">
        <v>14</v>
      </c>
      <c r="U21" s="705">
        <f>H21</f>
        <v>100</v>
      </c>
      <c r="V21" s="704" t="s">
        <v>14</v>
      </c>
      <c r="W21" s="705">
        <f>J21</f>
        <v>100</v>
      </c>
      <c r="X21" s="1354"/>
      <c r="Y21" s="366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69"/>
      <c r="Q22" s="1351"/>
      <c r="R22" s="704"/>
      <c r="S22" s="705"/>
      <c r="T22" s="704"/>
      <c r="U22" s="705"/>
      <c r="V22" s="704"/>
      <c r="W22" s="705"/>
      <c r="X22" s="1354"/>
      <c r="Y22" s="3669"/>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69"/>
      <c r="Q23" s="1351" t="str">
        <f t="shared" ref="Q23:Q37" si="8">B23</f>
        <v>区域土地利用方向</v>
      </c>
      <c r="R23" s="704" t="s">
        <v>14</v>
      </c>
      <c r="S23" s="705">
        <f>F23</f>
        <v>100</v>
      </c>
      <c r="T23" s="704" t="s">
        <v>14</v>
      </c>
      <c r="U23" s="705">
        <f>H23</f>
        <v>100</v>
      </c>
      <c r="V23" s="704" t="s">
        <v>14</v>
      </c>
      <c r="W23" s="705">
        <f>J23</f>
        <v>100</v>
      </c>
      <c r="X23" s="1354"/>
      <c r="Y23" s="366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69"/>
      <c r="Q24" s="1351"/>
      <c r="R24" s="704"/>
      <c r="S24" s="705"/>
      <c r="T24" s="704"/>
      <c r="U24" s="705"/>
      <c r="V24" s="704"/>
      <c r="W24" s="705"/>
      <c r="X24" s="1354"/>
      <c r="Y24" s="3669"/>
      <c r="Z24" s="1355"/>
      <c r="AA24" s="1352"/>
      <c r="AB24" s="1352"/>
      <c r="AC24" s="1352"/>
    </row>
    <row r="25" spans="1:29" ht="27">
      <c r="A25" s="357"/>
      <c r="B25" s="1130" t="s">
        <v>1871</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69"/>
      <c r="Q25" s="1351" t="str">
        <f t="shared" si="8"/>
        <v>自然及人文环境状况</v>
      </c>
      <c r="R25" s="704" t="s">
        <v>14</v>
      </c>
      <c r="S25" s="705">
        <f>F25</f>
        <v>100</v>
      </c>
      <c r="T25" s="704" t="s">
        <v>14</v>
      </c>
      <c r="U25" s="705">
        <f>H25</f>
        <v>100</v>
      </c>
      <c r="V25" s="704" t="s">
        <v>14</v>
      </c>
      <c r="W25" s="705">
        <f>J25</f>
        <v>100</v>
      </c>
      <c r="X25" s="1354"/>
      <c r="Y25" s="366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69"/>
      <c r="Q26" s="1351"/>
      <c r="R26" s="704"/>
      <c r="S26" s="705"/>
      <c r="T26" s="704"/>
      <c r="U26" s="705"/>
      <c r="V26" s="704"/>
      <c r="W26" s="705"/>
      <c r="X26" s="1354"/>
      <c r="Y26" s="3669"/>
      <c r="Z26" s="1355"/>
      <c r="AA26" s="1352">
        <v>1</v>
      </c>
      <c r="AB26" s="1352">
        <v>1</v>
      </c>
      <c r="AC26" s="1352">
        <v>1</v>
      </c>
    </row>
    <row r="27" spans="1:29" s="108" customFormat="1" ht="15">
      <c r="A27" s="596"/>
      <c r="B27" s="1130" t="s">
        <v>1777</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69"/>
      <c r="Q27" s="1342" t="str">
        <f t="shared" si="8"/>
        <v>公共配套设施</v>
      </c>
      <c r="R27" s="700" t="s">
        <v>14</v>
      </c>
      <c r="S27" s="701">
        <f>F27</f>
        <v>100</v>
      </c>
      <c r="T27" s="700" t="s">
        <v>14</v>
      </c>
      <c r="U27" s="701">
        <f>H27</f>
        <v>100</v>
      </c>
      <c r="V27" s="700" t="s">
        <v>14</v>
      </c>
      <c r="W27" s="701">
        <f>J27</f>
        <v>100</v>
      </c>
      <c r="X27" s="702"/>
      <c r="Y27" s="3669"/>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69"/>
      <c r="Q28" s="1342"/>
      <c r="R28" s="700"/>
      <c r="S28" s="701"/>
      <c r="T28" s="700"/>
      <c r="U28" s="701"/>
      <c r="V28" s="700"/>
      <c r="W28" s="701"/>
      <c r="X28" s="702"/>
      <c r="Y28" s="3669"/>
      <c r="Z28" s="52"/>
      <c r="AA28" s="1352">
        <v>1</v>
      </c>
      <c r="AB28" s="1352">
        <v>1</v>
      </c>
      <c r="AC28" s="1352">
        <v>1</v>
      </c>
    </row>
    <row r="29" spans="1:29" s="108" customFormat="1" ht="15">
      <c r="A29" s="596"/>
      <c r="B29" s="1130" t="s">
        <v>1778</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69"/>
      <c r="Q29" s="1342" t="str">
        <f t="shared" ref="Q29" si="9">B29</f>
        <v>基础设施水平</v>
      </c>
      <c r="R29" s="700" t="s">
        <v>14</v>
      </c>
      <c r="S29" s="701">
        <f>F29</f>
        <v>100</v>
      </c>
      <c r="T29" s="700" t="s">
        <v>14</v>
      </c>
      <c r="U29" s="701">
        <f>H29</f>
        <v>100</v>
      </c>
      <c r="V29" s="700" t="s">
        <v>14</v>
      </c>
      <c r="W29" s="701">
        <f>J29</f>
        <v>100</v>
      </c>
      <c r="X29" s="702"/>
      <c r="Y29" s="3669"/>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69"/>
      <c r="Q30" s="1342"/>
      <c r="R30" s="700"/>
      <c r="S30" s="701"/>
      <c r="T30" s="700"/>
      <c r="U30" s="701"/>
      <c r="V30" s="700"/>
      <c r="W30" s="701"/>
      <c r="X30" s="702"/>
      <c r="Y30" s="3669"/>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6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9"/>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69"/>
      <c r="Q32" s="1351" t="str">
        <f t="shared" si="8"/>
        <v>毗邻道路的类型与等级</v>
      </c>
      <c r="R32" s="704" t="s">
        <v>14</v>
      </c>
      <c r="S32" s="705">
        <f t="shared" si="10"/>
        <v>100</v>
      </c>
      <c r="T32" s="704" t="s">
        <v>14</v>
      </c>
      <c r="U32" s="705">
        <f t="shared" si="11"/>
        <v>100</v>
      </c>
      <c r="V32" s="704" t="s">
        <v>14</v>
      </c>
      <c r="W32" s="705">
        <f t="shared" si="12"/>
        <v>100</v>
      </c>
      <c r="X32" s="1354"/>
      <c r="Y32" s="366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69"/>
      <c r="Q33" s="1351"/>
      <c r="R33" s="704"/>
      <c r="S33" s="705"/>
      <c r="T33" s="704"/>
      <c r="U33" s="705"/>
      <c r="V33" s="704"/>
      <c r="W33" s="705"/>
      <c r="X33" s="1354"/>
      <c r="Y33" s="3669"/>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69"/>
      <c r="Q34" s="1351" t="str">
        <f t="shared" si="8"/>
        <v>土地级别</v>
      </c>
      <c r="R34" s="704" t="s">
        <v>14</v>
      </c>
      <c r="S34" s="705">
        <f t="shared" si="10"/>
        <v>100</v>
      </c>
      <c r="T34" s="704" t="s">
        <v>14</v>
      </c>
      <c r="U34" s="705">
        <f t="shared" si="11"/>
        <v>100</v>
      </c>
      <c r="V34" s="704" t="s">
        <v>14</v>
      </c>
      <c r="W34" s="705">
        <f t="shared" si="12"/>
        <v>100</v>
      </c>
      <c r="X34" s="1354"/>
      <c r="Y34" s="366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69"/>
      <c r="Q35" s="1351">
        <f t="shared" si="8"/>
        <v>111</v>
      </c>
      <c r="R35" s="704" t="s">
        <v>14</v>
      </c>
      <c r="S35" s="705">
        <f t="shared" si="10"/>
        <v>100</v>
      </c>
      <c r="T35" s="704" t="s">
        <v>14</v>
      </c>
      <c r="U35" s="705">
        <f t="shared" si="11"/>
        <v>100</v>
      </c>
      <c r="V35" s="704" t="s">
        <v>14</v>
      </c>
      <c r="W35" s="705">
        <f t="shared" si="12"/>
        <v>100</v>
      </c>
      <c r="X35" s="1354"/>
      <c r="Y35" s="366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1695</v>
      </c>
      <c r="Q36" s="1351">
        <f t="shared" si="8"/>
        <v>111</v>
      </c>
      <c r="R36" s="704" t="s">
        <v>14</v>
      </c>
      <c r="S36" s="705">
        <f t="shared" si="10"/>
        <v>100</v>
      </c>
      <c r="T36" s="704" t="s">
        <v>14</v>
      </c>
      <c r="U36" s="705">
        <f t="shared" si="11"/>
        <v>100</v>
      </c>
      <c r="V36" s="704" t="s">
        <v>14</v>
      </c>
      <c r="W36" s="705">
        <f t="shared" si="12"/>
        <v>100</v>
      </c>
      <c r="X36" s="1354"/>
      <c r="Y36" s="3673"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3"/>
      <c r="Q37" s="1351">
        <f t="shared" si="8"/>
        <v>111</v>
      </c>
      <c r="R37" s="707" t="s">
        <v>14</v>
      </c>
      <c r="S37" s="708">
        <f t="shared" si="10"/>
        <v>100</v>
      </c>
      <c r="T37" s="707" t="s">
        <v>14</v>
      </c>
      <c r="U37" s="708">
        <f t="shared" si="11"/>
        <v>100</v>
      </c>
      <c r="V37" s="707" t="s">
        <v>14</v>
      </c>
      <c r="W37" s="708">
        <f t="shared" si="12"/>
        <v>100</v>
      </c>
      <c r="X37" s="709"/>
      <c r="Y37" s="3673"/>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3"/>
      <c r="Q38" s="1351" t="str">
        <f>B38</f>
        <v>宗地面积</v>
      </c>
      <c r="R38" s="704" t="s">
        <v>14</v>
      </c>
      <c r="S38" s="705" t="e">
        <f t="shared" si="10"/>
        <v>#N/A</v>
      </c>
      <c r="T38" s="704" t="s">
        <v>14</v>
      </c>
      <c r="U38" s="705" t="e">
        <f t="shared" si="11"/>
        <v>#N/A</v>
      </c>
      <c r="V38" s="704" t="s">
        <v>14</v>
      </c>
      <c r="W38" s="705" t="e">
        <f t="shared" si="12"/>
        <v>#N/A</v>
      </c>
      <c r="X38" s="1354"/>
      <c r="Y38" s="3673"/>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673"/>
      <c r="Q39" s="1351" t="str">
        <f t="shared" ref="Q39:Q45" si="14">B39</f>
        <v>宗地形状</v>
      </c>
      <c r="R39" s="704" t="s">
        <v>14</v>
      </c>
      <c r="S39" s="705">
        <f t="shared" si="10"/>
        <v>100</v>
      </c>
      <c r="T39" s="704" t="s">
        <v>14</v>
      </c>
      <c r="U39" s="705">
        <f t="shared" si="11"/>
        <v>100</v>
      </c>
      <c r="V39" s="704" t="s">
        <v>14</v>
      </c>
      <c r="W39" s="705">
        <f t="shared" si="12"/>
        <v>100</v>
      </c>
      <c r="X39" s="1354"/>
      <c r="Y39" s="3673"/>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673"/>
      <c r="Q40" s="1351" t="str">
        <f t="shared" si="14"/>
        <v>临街宽度及深度</v>
      </c>
      <c r="R40" s="704" t="s">
        <v>14</v>
      </c>
      <c r="S40" s="705">
        <f t="shared" si="10"/>
        <v>100</v>
      </c>
      <c r="T40" s="704" t="s">
        <v>14</v>
      </c>
      <c r="U40" s="705">
        <f t="shared" si="11"/>
        <v>100</v>
      </c>
      <c r="V40" s="704" t="s">
        <v>14</v>
      </c>
      <c r="W40" s="705">
        <f t="shared" si="12"/>
        <v>100</v>
      </c>
      <c r="X40" s="1354"/>
      <c r="Y40" s="3673"/>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673"/>
      <c r="Q41" s="1351" t="str">
        <f t="shared" si="14"/>
        <v>宗地开发程度</v>
      </c>
      <c r="R41" s="700" t="s">
        <v>14</v>
      </c>
      <c r="S41" s="701">
        <f t="shared" si="10"/>
        <v>100</v>
      </c>
      <c r="T41" s="700" t="s">
        <v>14</v>
      </c>
      <c r="U41" s="701">
        <f t="shared" si="11"/>
        <v>100</v>
      </c>
      <c r="V41" s="700" t="s">
        <v>14</v>
      </c>
      <c r="W41" s="701">
        <f t="shared" si="12"/>
        <v>100</v>
      </c>
      <c r="X41" s="702"/>
      <c r="Y41" s="3673"/>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673" t="s">
        <v>1695</v>
      </c>
      <c r="Q42" s="1351" t="str">
        <f t="shared" si="14"/>
        <v>工程地质条件</v>
      </c>
      <c r="R42" s="704" t="s">
        <v>14</v>
      </c>
      <c r="S42" s="705">
        <f t="shared" si="10"/>
        <v>100</v>
      </c>
      <c r="T42" s="704" t="s">
        <v>14</v>
      </c>
      <c r="U42" s="705">
        <f t="shared" si="11"/>
        <v>100</v>
      </c>
      <c r="V42" s="704" t="s">
        <v>14</v>
      </c>
      <c r="W42" s="705">
        <f t="shared" si="12"/>
        <v>100</v>
      </c>
      <c r="X42" s="1354"/>
      <c r="Y42" s="3673"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3"/>
      <c r="Q43" s="1351">
        <f t="shared" si="14"/>
        <v>111</v>
      </c>
      <c r="R43" s="704" t="s">
        <v>14</v>
      </c>
      <c r="S43" s="705">
        <f t="shared" si="10"/>
        <v>100</v>
      </c>
      <c r="T43" s="704" t="s">
        <v>14</v>
      </c>
      <c r="U43" s="705">
        <f t="shared" si="11"/>
        <v>100</v>
      </c>
      <c r="V43" s="704" t="s">
        <v>14</v>
      </c>
      <c r="W43" s="705">
        <f t="shared" si="12"/>
        <v>100</v>
      </c>
      <c r="X43" s="1354"/>
      <c r="Y43" s="367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3"/>
      <c r="Q44" s="1351">
        <f t="shared" si="14"/>
        <v>111</v>
      </c>
      <c r="R44" s="704" t="s">
        <v>14</v>
      </c>
      <c r="S44" s="705">
        <f t="shared" si="10"/>
        <v>100</v>
      </c>
      <c r="T44" s="704" t="s">
        <v>14</v>
      </c>
      <c r="U44" s="705">
        <f t="shared" si="11"/>
        <v>100</v>
      </c>
      <c r="V44" s="704" t="s">
        <v>14</v>
      </c>
      <c r="W44" s="705">
        <f t="shared" si="12"/>
        <v>100</v>
      </c>
      <c r="X44" s="1354"/>
      <c r="Y44" s="367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3"/>
      <c r="Q45" s="1351">
        <f t="shared" si="14"/>
        <v>111</v>
      </c>
      <c r="R45" s="707" t="s">
        <v>14</v>
      </c>
      <c r="S45" s="708">
        <f t="shared" si="10"/>
        <v>100</v>
      </c>
      <c r="T45" s="707" t="s">
        <v>14</v>
      </c>
      <c r="U45" s="708">
        <f t="shared" si="11"/>
        <v>100</v>
      </c>
      <c r="V45" s="707" t="s">
        <v>14</v>
      </c>
      <c r="W45" s="708">
        <f t="shared" si="12"/>
        <v>100</v>
      </c>
      <c r="X45" s="709"/>
      <c r="Y45" s="3673"/>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0"/>
      <c r="M46" s="2721"/>
      <c r="N46" s="2712"/>
      <c r="O46" s="2721"/>
      <c r="P46" s="3661" t="str">
        <f>A46</f>
        <v>成交单价</v>
      </c>
      <c r="Q46" s="3661"/>
      <c r="R46" s="3679">
        <f>E46</f>
        <v>0</v>
      </c>
      <c r="S46" s="3679"/>
      <c r="T46" s="3679">
        <f>G46</f>
        <v>0</v>
      </c>
      <c r="U46" s="3679"/>
      <c r="V46" s="3679">
        <f>I46</f>
        <v>0</v>
      </c>
      <c r="W46" s="3679"/>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61" t="str">
        <f>A47</f>
        <v>比较价值（元/平方米）</v>
      </c>
      <c r="Q47" s="3661"/>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0"/>
      <c r="M48" s="2721"/>
      <c r="N48" s="2721"/>
      <c r="O48" s="2721"/>
      <c r="P48" s="3732" t="str">
        <f>A48</f>
        <v>估价对象XX用房的比较价值（楼面单价，元/平方米）</v>
      </c>
      <c r="Q48" s="3733"/>
      <c r="R48" s="3748" t="e">
        <f>ROUND(IF(D47="简单平均",AVERAGE(R47:W47),R47*F47+T47*H47+V47*J47),0)</f>
        <v>#DIV/0!</v>
      </c>
      <c r="S48" s="3748"/>
      <c r="T48" s="3748"/>
      <c r="U48" s="3748"/>
      <c r="V48" s="3748"/>
      <c r="W48" s="374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693" t="s">
        <v>1886</v>
      </c>
      <c r="H55" s="3749"/>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131.02000000000001</v>
      </c>
      <c r="F56" s="885" t="e">
        <f t="shared" ref="F56:F64" si="15">ROUND(B56*E56/10000,0)</f>
        <v>#DIV/0!</v>
      </c>
      <c r="G56" s="3660"/>
      <c r="H56" s="3661"/>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0.3</v>
      </c>
      <c r="D60" s="944">
        <v>0.25</v>
      </c>
      <c r="E60" s="216">
        <f>'数据-汇总表'!E11</f>
        <v>0</v>
      </c>
      <c r="F60" s="885" t="e">
        <f t="shared" si="15"/>
        <v>#DIV/0!</v>
      </c>
      <c r="G60" s="1986" t="s">
        <v>1895</v>
      </c>
      <c r="H60" s="886" t="str">
        <f>项目基本情况!C37</f>
        <v>一级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0.3</v>
      </c>
      <c r="D61" s="944">
        <v>0.25</v>
      </c>
      <c r="E61" s="216">
        <f>'数据-汇总表'!E12</f>
        <v>0</v>
      </c>
      <c r="F61" s="885" t="e">
        <f t="shared" si="15"/>
        <v>#DIV/0!</v>
      </c>
      <c r="G61" s="891" t="s">
        <v>1897</v>
      </c>
      <c r="H61" s="886" t="str">
        <f>IF(G61="商业",项目基本情况!B37,IF(G61="办公",项目基本情况!C37,IF(G61="住宅",项目基本情况!D37,项目基本情况!E37)))</f>
        <v>一级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7" t="e">
        <f t="shared" si="17"/>
        <v>#DIV/0!</v>
      </c>
      <c r="C64" s="170">
        <f t="shared" si="16"/>
        <v>0.2</v>
      </c>
      <c r="D64" s="944">
        <v>0.25</v>
      </c>
      <c r="E64" s="216">
        <f>'数据-汇总表'!E15</f>
        <v>0</v>
      </c>
      <c r="F64" s="885" t="e">
        <f t="shared" si="15"/>
        <v>#DIV/0!</v>
      </c>
      <c r="G64" s="1987" t="s">
        <v>1895</v>
      </c>
      <c r="H64" s="896" t="str">
        <f>项目基本情况!C37</f>
        <v>一级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131.02000000000001</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2024-4-1</v>
      </c>
      <c r="D67" s="691">
        <f>EDATE(C67,-3)</f>
        <v>45292</v>
      </c>
      <c r="E67" s="691">
        <f>EDATE(D67,-3)</f>
        <v>45200</v>
      </c>
      <c r="F67" s="691">
        <f t="shared" ref="F67:O67" si="18">EDATE(E67,-3)</f>
        <v>45108</v>
      </c>
      <c r="G67" s="691">
        <f t="shared" si="18"/>
        <v>45017</v>
      </c>
      <c r="H67" s="691">
        <f t="shared" si="18"/>
        <v>44927</v>
      </c>
      <c r="I67" s="691">
        <f t="shared" si="18"/>
        <v>44835</v>
      </c>
      <c r="J67" s="691">
        <f t="shared" si="18"/>
        <v>44743</v>
      </c>
      <c r="K67" s="691">
        <f t="shared" si="18"/>
        <v>44652</v>
      </c>
      <c r="L67" s="691">
        <f t="shared" si="18"/>
        <v>44562</v>
      </c>
      <c r="M67" s="691">
        <f t="shared" si="18"/>
        <v>44470</v>
      </c>
      <c r="N67" s="691">
        <f t="shared" si="18"/>
        <v>44378</v>
      </c>
      <c r="O67" s="691">
        <f t="shared" si="18"/>
        <v>44287</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1903</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ht="15">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75" thickBot="1">
      <c r="A6" s="359"/>
      <c r="B6" s="360"/>
      <c r="C6" s="3750" t="s">
        <v>1918</v>
      </c>
      <c r="D6" s="3751"/>
      <c r="E6" s="3752" t="s">
        <v>1918</v>
      </c>
      <c r="F6" s="3753"/>
      <c r="G6" s="3750" t="s">
        <v>1918</v>
      </c>
      <c r="H6" s="3751"/>
      <c r="I6" s="3750" t="s">
        <v>1918</v>
      </c>
      <c r="J6" s="3751"/>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75" thickBot="1">
      <c r="A7" s="361" t="s">
        <v>1678</v>
      </c>
      <c r="B7" s="362"/>
      <c r="C7" s="363">
        <f>'数据-取费表'!B2</f>
        <v>45407</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77" t="s">
        <v>1682</v>
      </c>
      <c r="Q8" s="3676"/>
      <c r="R8" s="700" t="s">
        <v>14</v>
      </c>
      <c r="S8" s="701">
        <f t="shared" si="0"/>
        <v>0</v>
      </c>
      <c r="T8" s="700" t="s">
        <v>14</v>
      </c>
      <c r="U8" s="701">
        <f t="shared" si="1"/>
        <v>0</v>
      </c>
      <c r="V8" s="700" t="s">
        <v>14</v>
      </c>
      <c r="W8" s="701">
        <f t="shared" si="2"/>
        <v>0</v>
      </c>
      <c r="X8" s="702"/>
      <c r="Y8" s="3677" t="s">
        <v>1682</v>
      </c>
      <c r="Z8" s="3676"/>
      <c r="AA8" s="703" t="e">
        <f t="shared" ref="AA8:AA40" si="3">D8/F8</f>
        <v>#DIV/0!</v>
      </c>
      <c r="AB8" s="703" t="e">
        <f t="shared" ref="AB8:AB40" si="4">D8/H8</f>
        <v>#DIV/0!</v>
      </c>
      <c r="AC8" s="703" t="e">
        <f t="shared" ref="AC8:AC40" si="5">D8/J8</f>
        <v>#DIV/0!</v>
      </c>
    </row>
    <row r="9" spans="1:29" s="108"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146</v>
      </c>
      <c r="G10" s="382"/>
      <c r="H10" s="126">
        <f>ROUND(100/'数据-取费表'!G16,0)</f>
        <v>146</v>
      </c>
      <c r="I10" s="382"/>
      <c r="J10" s="126">
        <f>ROUND(100/'数据-取费表'!G16,0)</f>
        <v>146</v>
      </c>
      <c r="K10" s="619"/>
      <c r="L10" s="2715"/>
      <c r="M10" s="2716"/>
      <c r="N10" s="2716"/>
      <c r="O10" s="2769"/>
      <c r="P10" s="3661"/>
      <c r="Q10" s="1342" t="str">
        <f t="shared" si="6"/>
        <v>土地使用年限（年）</v>
      </c>
      <c r="R10" s="700" t="s">
        <v>14</v>
      </c>
      <c r="S10" s="701">
        <f t="shared" si="0"/>
        <v>146</v>
      </c>
      <c r="T10" s="700" t="s">
        <v>14</v>
      </c>
      <c r="U10" s="701">
        <f t="shared" si="1"/>
        <v>146</v>
      </c>
      <c r="V10" s="700" t="s">
        <v>14</v>
      </c>
      <c r="W10" s="701">
        <f t="shared" si="2"/>
        <v>146</v>
      </c>
      <c r="X10" s="702"/>
      <c r="Y10" s="3559"/>
      <c r="Z10" s="52" t="str">
        <f t="shared" si="7"/>
        <v>土地使用年限（年）</v>
      </c>
      <c r="AA10" s="703">
        <f t="shared" si="3"/>
        <v>0.68493150684931503</v>
      </c>
      <c r="AB10" s="703">
        <f t="shared" si="4"/>
        <v>0.68493150684931503</v>
      </c>
      <c r="AC10" s="703">
        <f t="shared" si="5"/>
        <v>0.68493150684931503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1"/>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8" t="s">
        <v>1690</v>
      </c>
      <c r="Q15" s="1351" t="str">
        <f t="shared" si="6"/>
        <v>产业集聚程度</v>
      </c>
      <c r="R15" s="704" t="s">
        <v>14</v>
      </c>
      <c r="S15" s="705">
        <f t="shared" si="0"/>
        <v>100</v>
      </c>
      <c r="T15" s="704" t="s">
        <v>14</v>
      </c>
      <c r="U15" s="705">
        <f t="shared" si="1"/>
        <v>100</v>
      </c>
      <c r="V15" s="704" t="s">
        <v>14</v>
      </c>
      <c r="W15" s="705">
        <f t="shared" si="2"/>
        <v>100</v>
      </c>
      <c r="X15" s="1354"/>
      <c r="Y15" s="3668"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69"/>
      <c r="Q16" s="1351"/>
      <c r="R16" s="704"/>
      <c r="S16" s="705"/>
      <c r="T16" s="704"/>
      <c r="U16" s="705"/>
      <c r="V16" s="704"/>
      <c r="W16" s="705"/>
      <c r="X16" s="1354"/>
      <c r="Y16" s="3669"/>
      <c r="Z16" s="1355"/>
      <c r="AA16" s="1352">
        <v>1</v>
      </c>
      <c r="AB16" s="1352">
        <v>1</v>
      </c>
      <c r="AC16" s="1352">
        <v>1</v>
      </c>
    </row>
    <row r="17" spans="1:29" ht="85.5">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69"/>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69"/>
      <c r="Q18" s="1351"/>
      <c r="R18" s="704"/>
      <c r="S18" s="705"/>
      <c r="T18" s="704"/>
      <c r="U18" s="705"/>
      <c r="V18" s="704"/>
      <c r="W18" s="705"/>
      <c r="X18" s="1354"/>
      <c r="Y18" s="3669"/>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69"/>
      <c r="Q19" s="1351" t="str">
        <f t="shared" ref="Q19:Q33" si="8">B19</f>
        <v>区域土地利用方向</v>
      </c>
      <c r="R19" s="704" t="s">
        <v>14</v>
      </c>
      <c r="S19" s="705">
        <f>F19</f>
        <v>100</v>
      </c>
      <c r="T19" s="704" t="s">
        <v>14</v>
      </c>
      <c r="U19" s="705">
        <f>H19</f>
        <v>100</v>
      </c>
      <c r="V19" s="704" t="s">
        <v>14</v>
      </c>
      <c r="W19" s="705">
        <f>J19</f>
        <v>100</v>
      </c>
      <c r="X19" s="1354"/>
      <c r="Y19" s="366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69"/>
      <c r="Q20" s="1351"/>
      <c r="R20" s="704"/>
      <c r="S20" s="705"/>
      <c r="T20" s="704"/>
      <c r="U20" s="705"/>
      <c r="V20" s="704"/>
      <c r="W20" s="705"/>
      <c r="X20" s="1354"/>
      <c r="Y20" s="3669"/>
      <c r="Z20" s="1355"/>
      <c r="AA20" s="1352"/>
      <c r="AB20" s="1352"/>
      <c r="AC20" s="1352"/>
    </row>
    <row r="21" spans="1:29" ht="71.25">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69"/>
      <c r="Q21" s="1351" t="str">
        <f t="shared" si="8"/>
        <v>环境状况</v>
      </c>
      <c r="R21" s="704" t="s">
        <v>14</v>
      </c>
      <c r="S21" s="705">
        <f>F21</f>
        <v>100</v>
      </c>
      <c r="T21" s="704" t="s">
        <v>14</v>
      </c>
      <c r="U21" s="705">
        <f>H21</f>
        <v>100</v>
      </c>
      <c r="V21" s="704" t="s">
        <v>14</v>
      </c>
      <c r="W21" s="705">
        <f>J21</f>
        <v>100</v>
      </c>
      <c r="X21" s="1354"/>
      <c r="Y21" s="366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69"/>
      <c r="Q22" s="1351"/>
      <c r="R22" s="704"/>
      <c r="S22" s="705"/>
      <c r="T22" s="704"/>
      <c r="U22" s="705"/>
      <c r="V22" s="704"/>
      <c r="W22" s="705"/>
      <c r="X22" s="1354"/>
      <c r="Y22" s="3669"/>
      <c r="Z22" s="1355"/>
      <c r="AA22" s="1352">
        <v>1</v>
      </c>
      <c r="AB22" s="1352">
        <v>1</v>
      </c>
      <c r="AC22" s="1352">
        <v>1</v>
      </c>
    </row>
    <row r="23" spans="1:29" s="108" customFormat="1" ht="42.75">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69"/>
      <c r="Q23" s="1342" t="str">
        <f t="shared" si="8"/>
        <v>公共配套设施</v>
      </c>
      <c r="R23" s="700" t="s">
        <v>14</v>
      </c>
      <c r="S23" s="701">
        <f>F23</f>
        <v>100</v>
      </c>
      <c r="T23" s="700" t="s">
        <v>14</v>
      </c>
      <c r="U23" s="701">
        <f>H23</f>
        <v>100</v>
      </c>
      <c r="V23" s="700" t="s">
        <v>14</v>
      </c>
      <c r="W23" s="701">
        <f>J23</f>
        <v>100</v>
      </c>
      <c r="X23" s="702"/>
      <c r="Y23" s="3669"/>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69"/>
      <c r="Q24" s="1342"/>
      <c r="R24" s="700"/>
      <c r="S24" s="701"/>
      <c r="T24" s="700"/>
      <c r="U24" s="701"/>
      <c r="V24" s="700"/>
      <c r="W24" s="701"/>
      <c r="X24" s="702"/>
      <c r="Y24" s="3669"/>
      <c r="Z24" s="52"/>
      <c r="AA24" s="703">
        <v>1</v>
      </c>
      <c r="AB24" s="703">
        <v>1</v>
      </c>
      <c r="AC24" s="703">
        <v>1</v>
      </c>
    </row>
    <row r="25" spans="1:29" s="108" customFormat="1" ht="28.5">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69"/>
      <c r="Q25" s="1342" t="str">
        <f t="shared" ref="Q25" si="9">B25</f>
        <v>基础设施水平</v>
      </c>
      <c r="R25" s="700" t="s">
        <v>14</v>
      </c>
      <c r="S25" s="701">
        <f>F25</f>
        <v>100</v>
      </c>
      <c r="T25" s="700" t="s">
        <v>14</v>
      </c>
      <c r="U25" s="701">
        <f>H25</f>
        <v>100</v>
      </c>
      <c r="V25" s="700" t="s">
        <v>14</v>
      </c>
      <c r="W25" s="701">
        <f>J25</f>
        <v>100</v>
      </c>
      <c r="X25" s="702"/>
      <c r="Y25" s="3669"/>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69"/>
      <c r="Q26" s="1342"/>
      <c r="R26" s="700"/>
      <c r="S26" s="701"/>
      <c r="T26" s="700"/>
      <c r="U26" s="701"/>
      <c r="V26" s="700"/>
      <c r="W26" s="701"/>
      <c r="X26" s="702"/>
      <c r="Y26" s="3669"/>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6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9"/>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69"/>
      <c r="Q28" s="1351" t="str">
        <f t="shared" si="8"/>
        <v>毗邻道路的类型与等级</v>
      </c>
      <c r="R28" s="704" t="s">
        <v>14</v>
      </c>
      <c r="S28" s="705">
        <f t="shared" si="10"/>
        <v>100</v>
      </c>
      <c r="T28" s="704" t="s">
        <v>14</v>
      </c>
      <c r="U28" s="705">
        <f t="shared" si="11"/>
        <v>100</v>
      </c>
      <c r="V28" s="704" t="s">
        <v>14</v>
      </c>
      <c r="W28" s="705">
        <f t="shared" si="12"/>
        <v>100</v>
      </c>
      <c r="X28" s="1354"/>
      <c r="Y28" s="366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69"/>
      <c r="Q29" s="1351"/>
      <c r="R29" s="704"/>
      <c r="S29" s="705"/>
      <c r="T29" s="704"/>
      <c r="U29" s="705"/>
      <c r="V29" s="704"/>
      <c r="W29" s="705"/>
      <c r="X29" s="1354"/>
      <c r="Y29" s="3669"/>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69"/>
      <c r="Q30" s="1351" t="str">
        <f t="shared" si="8"/>
        <v>土地级别</v>
      </c>
      <c r="R30" s="704" t="s">
        <v>14</v>
      </c>
      <c r="S30" s="705">
        <f t="shared" si="10"/>
        <v>100</v>
      </c>
      <c r="T30" s="704" t="s">
        <v>14</v>
      </c>
      <c r="U30" s="705">
        <f t="shared" si="11"/>
        <v>100</v>
      </c>
      <c r="V30" s="704" t="s">
        <v>14</v>
      </c>
      <c r="W30" s="705">
        <f t="shared" si="12"/>
        <v>100</v>
      </c>
      <c r="X30" s="1354"/>
      <c r="Y30" s="366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69"/>
      <c r="Q31" s="1351">
        <f t="shared" si="8"/>
        <v>111</v>
      </c>
      <c r="R31" s="704" t="s">
        <v>14</v>
      </c>
      <c r="S31" s="705">
        <f t="shared" si="10"/>
        <v>100</v>
      </c>
      <c r="T31" s="704" t="s">
        <v>14</v>
      </c>
      <c r="U31" s="705">
        <f t="shared" si="11"/>
        <v>100</v>
      </c>
      <c r="V31" s="704" t="s">
        <v>14</v>
      </c>
      <c r="W31" s="705">
        <f t="shared" si="12"/>
        <v>100</v>
      </c>
      <c r="X31" s="1354"/>
      <c r="Y31" s="366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1695</v>
      </c>
      <c r="Q32" s="1351">
        <f t="shared" si="8"/>
        <v>111</v>
      </c>
      <c r="R32" s="704" t="s">
        <v>14</v>
      </c>
      <c r="S32" s="705">
        <f t="shared" si="10"/>
        <v>100</v>
      </c>
      <c r="T32" s="704" t="s">
        <v>14</v>
      </c>
      <c r="U32" s="705">
        <f t="shared" si="11"/>
        <v>100</v>
      </c>
      <c r="V32" s="704" t="s">
        <v>14</v>
      </c>
      <c r="W32" s="705">
        <f t="shared" si="12"/>
        <v>100</v>
      </c>
      <c r="X32" s="1354"/>
      <c r="Y32" s="3673"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3"/>
      <c r="Q33" s="1351">
        <f t="shared" si="8"/>
        <v>111</v>
      </c>
      <c r="R33" s="707" t="s">
        <v>14</v>
      </c>
      <c r="S33" s="708">
        <f t="shared" si="10"/>
        <v>100</v>
      </c>
      <c r="T33" s="707" t="s">
        <v>14</v>
      </c>
      <c r="U33" s="708">
        <f t="shared" si="11"/>
        <v>100</v>
      </c>
      <c r="V33" s="707" t="s">
        <v>14</v>
      </c>
      <c r="W33" s="708">
        <f t="shared" si="12"/>
        <v>100</v>
      </c>
      <c r="X33" s="709"/>
      <c r="Y33" s="3673"/>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3"/>
      <c r="Q34" s="1351" t="str">
        <f>B34</f>
        <v>宗地面积</v>
      </c>
      <c r="R34" s="704" t="s">
        <v>14</v>
      </c>
      <c r="S34" s="705" t="e">
        <f t="shared" si="10"/>
        <v>#N/A</v>
      </c>
      <c r="T34" s="704" t="s">
        <v>14</v>
      </c>
      <c r="U34" s="705" t="e">
        <f t="shared" si="11"/>
        <v>#N/A</v>
      </c>
      <c r="V34" s="704" t="s">
        <v>14</v>
      </c>
      <c r="W34" s="705" t="e">
        <f t="shared" si="12"/>
        <v>#N/A</v>
      </c>
      <c r="X34" s="1354"/>
      <c r="Y34" s="3673"/>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673"/>
      <c r="Q35" s="1351" t="str">
        <f t="shared" ref="Q35:Q40" si="14">B35</f>
        <v>宗地形状</v>
      </c>
      <c r="R35" s="704" t="s">
        <v>14</v>
      </c>
      <c r="S35" s="705">
        <f t="shared" si="10"/>
        <v>100</v>
      </c>
      <c r="T35" s="704" t="s">
        <v>14</v>
      </c>
      <c r="U35" s="705">
        <f t="shared" si="11"/>
        <v>100</v>
      </c>
      <c r="V35" s="704" t="s">
        <v>14</v>
      </c>
      <c r="W35" s="705">
        <f t="shared" si="12"/>
        <v>100</v>
      </c>
      <c r="X35" s="1354"/>
      <c r="Y35" s="3673"/>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673"/>
      <c r="Q36" s="1351" t="str">
        <f t="shared" si="14"/>
        <v>宗地开发程度</v>
      </c>
      <c r="R36" s="700" t="s">
        <v>14</v>
      </c>
      <c r="S36" s="701">
        <f t="shared" si="10"/>
        <v>100</v>
      </c>
      <c r="T36" s="700" t="s">
        <v>14</v>
      </c>
      <c r="U36" s="701">
        <f t="shared" si="11"/>
        <v>100</v>
      </c>
      <c r="V36" s="700" t="s">
        <v>14</v>
      </c>
      <c r="W36" s="701">
        <f t="shared" si="12"/>
        <v>100</v>
      </c>
      <c r="X36" s="702"/>
      <c r="Y36" s="3673"/>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673" t="s">
        <v>1695</v>
      </c>
      <c r="Q37" s="1351" t="str">
        <f t="shared" si="14"/>
        <v>工程地质条件</v>
      </c>
      <c r="R37" s="704" t="s">
        <v>14</v>
      </c>
      <c r="S37" s="705">
        <f t="shared" si="10"/>
        <v>100</v>
      </c>
      <c r="T37" s="704" t="s">
        <v>14</v>
      </c>
      <c r="U37" s="705">
        <f t="shared" si="11"/>
        <v>100</v>
      </c>
      <c r="V37" s="704" t="s">
        <v>14</v>
      </c>
      <c r="W37" s="705">
        <f t="shared" si="12"/>
        <v>100</v>
      </c>
      <c r="X37" s="1354"/>
      <c r="Y37" s="3673"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3"/>
      <c r="Q38" s="1351">
        <f t="shared" si="14"/>
        <v>111</v>
      </c>
      <c r="R38" s="704" t="s">
        <v>14</v>
      </c>
      <c r="S38" s="705">
        <f t="shared" si="10"/>
        <v>100</v>
      </c>
      <c r="T38" s="704" t="s">
        <v>14</v>
      </c>
      <c r="U38" s="705">
        <f t="shared" si="11"/>
        <v>100</v>
      </c>
      <c r="V38" s="704" t="s">
        <v>14</v>
      </c>
      <c r="W38" s="705">
        <f t="shared" si="12"/>
        <v>100</v>
      </c>
      <c r="X38" s="1354"/>
      <c r="Y38" s="367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3"/>
      <c r="Q39" s="1351">
        <f t="shared" si="14"/>
        <v>111</v>
      </c>
      <c r="R39" s="704" t="s">
        <v>14</v>
      </c>
      <c r="S39" s="705">
        <f t="shared" si="10"/>
        <v>100</v>
      </c>
      <c r="T39" s="704" t="s">
        <v>14</v>
      </c>
      <c r="U39" s="705">
        <f t="shared" si="11"/>
        <v>100</v>
      </c>
      <c r="V39" s="704" t="s">
        <v>14</v>
      </c>
      <c r="W39" s="705">
        <f t="shared" si="12"/>
        <v>100</v>
      </c>
      <c r="X39" s="1354"/>
      <c r="Y39" s="367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3"/>
      <c r="Q40" s="1351">
        <f t="shared" si="14"/>
        <v>111</v>
      </c>
      <c r="R40" s="707" t="s">
        <v>14</v>
      </c>
      <c r="S40" s="708">
        <f t="shared" si="10"/>
        <v>100</v>
      </c>
      <c r="T40" s="707" t="s">
        <v>14</v>
      </c>
      <c r="U40" s="708">
        <f t="shared" si="11"/>
        <v>100</v>
      </c>
      <c r="V40" s="707" t="s">
        <v>14</v>
      </c>
      <c r="W40" s="708">
        <f t="shared" si="12"/>
        <v>100</v>
      </c>
      <c r="X40" s="709"/>
      <c r="Y40" s="3673"/>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0"/>
      <c r="M41" s="2712"/>
      <c r="N41" s="2712"/>
      <c r="O41" s="2721"/>
      <c r="P41" s="3661" t="str">
        <f>A41</f>
        <v>成交单价</v>
      </c>
      <c r="Q41" s="3661"/>
      <c r="R41" s="3679">
        <f>E41</f>
        <v>0</v>
      </c>
      <c r="S41" s="3679"/>
      <c r="T41" s="3679">
        <f>G41</f>
        <v>0</v>
      </c>
      <c r="U41" s="3679"/>
      <c r="V41" s="3679">
        <f>I41</f>
        <v>0</v>
      </c>
      <c r="W41" s="3679"/>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61" t="str">
        <f>A42</f>
        <v>比较价值（元/平方米）</v>
      </c>
      <c r="Q42" s="3661"/>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732" t="str">
        <f>A43</f>
        <v>估价对象XX用房的比较价值（楼面单价，元/平方米）</v>
      </c>
      <c r="Q43" s="3733"/>
      <c r="R43" s="3748" t="e">
        <f>ROUND(IF(D42="简单平均",AVERAGE(R42:W42),R42*F42+T42*H42+V42*J42),0)</f>
        <v>#DIV/0!</v>
      </c>
      <c r="S43" s="3748"/>
      <c r="T43" s="3748"/>
      <c r="U43" s="3748"/>
      <c r="V43" s="3748"/>
      <c r="W43" s="374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2" t="s">
        <v>1882</v>
      </c>
      <c r="D50" s="1983" t="s">
        <v>1883</v>
      </c>
      <c r="E50" s="633" t="s">
        <v>1884</v>
      </c>
      <c r="F50" s="634" t="s">
        <v>1885</v>
      </c>
      <c r="G50" s="3693" t="s">
        <v>1886</v>
      </c>
      <c r="H50" s="3749"/>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131.02000000000001</v>
      </c>
      <c r="F51" s="638" t="e">
        <f t="shared" ref="F51:F60" si="15">ROUND(B51*E51/10000,0)</f>
        <v>#DIV/0!</v>
      </c>
      <c r="G51" s="3660"/>
      <c r="H51" s="3661"/>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0.3</v>
      </c>
      <c r="D56" s="944">
        <v>0.25</v>
      </c>
      <c r="E56" s="216">
        <f>'数据-汇总表'!E11</f>
        <v>0</v>
      </c>
      <c r="F56" s="638" t="e">
        <f t="shared" si="15"/>
        <v>#DIV/0!</v>
      </c>
      <c r="G56" s="1986" t="s">
        <v>1895</v>
      </c>
      <c r="H56" s="886" t="str">
        <f>项目基本情况!C37</f>
        <v>一级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0.3</v>
      </c>
      <c r="D57" s="944">
        <v>0.25</v>
      </c>
      <c r="E57" s="216">
        <f>'数据-汇总表'!E12</f>
        <v>0</v>
      </c>
      <c r="F57" s="638" t="e">
        <f t="shared" si="15"/>
        <v>#DIV/0!</v>
      </c>
      <c r="G57" s="891" t="s">
        <v>1897</v>
      </c>
      <c r="H57" s="886" t="str">
        <f>IF(G57="商业",项目基本情况!B37,IF(G57="办公",项目基本情况!C37,IF(G57="住宅",项目基本情况!D37,项目基本情况!E37)))</f>
        <v>一级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7" t="e">
        <f t="shared" si="17"/>
        <v>#DIV/0!</v>
      </c>
      <c r="C60" s="170">
        <f t="shared" si="16"/>
        <v>0.2</v>
      </c>
      <c r="D60" s="944">
        <v>0.25</v>
      </c>
      <c r="E60" s="216">
        <f>'数据-汇总表'!E15</f>
        <v>0</v>
      </c>
      <c r="F60" s="638" t="e">
        <f t="shared" si="15"/>
        <v>#DIV/0!</v>
      </c>
      <c r="G60" s="1987" t="s">
        <v>1895</v>
      </c>
      <c r="H60" s="896" t="str">
        <f>项目基本情况!C37</f>
        <v>一级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12.1</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2024-4-1</v>
      </c>
      <c r="D63" s="691">
        <f>EDATE(C63,-3)</f>
        <v>45292</v>
      </c>
      <c r="E63" s="691">
        <f>EDATE(D63,-3)</f>
        <v>45200</v>
      </c>
      <c r="F63" s="691">
        <f t="shared" ref="F63:O63" si="18">EDATE(E63,-3)</f>
        <v>45108</v>
      </c>
      <c r="G63" s="691">
        <f t="shared" si="18"/>
        <v>45017</v>
      </c>
      <c r="H63" s="691">
        <f t="shared" si="18"/>
        <v>44927</v>
      </c>
      <c r="I63" s="691">
        <f t="shared" si="18"/>
        <v>44835</v>
      </c>
      <c r="J63" s="691">
        <f t="shared" si="18"/>
        <v>44743</v>
      </c>
      <c r="K63" s="691">
        <f t="shared" si="18"/>
        <v>44652</v>
      </c>
      <c r="L63" s="691">
        <f t="shared" si="18"/>
        <v>44562</v>
      </c>
      <c r="M63" s="691">
        <f t="shared" si="18"/>
        <v>44470</v>
      </c>
      <c r="N63" s="691">
        <f t="shared" si="18"/>
        <v>44378</v>
      </c>
      <c r="O63" s="691">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1903</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7" t="s">
        <v>2083</v>
      </c>
      <c r="D1" s="3758"/>
      <c r="E1" s="3758"/>
      <c r="F1" s="3758"/>
      <c r="G1" s="3758"/>
      <c r="H1" s="3758"/>
      <c r="I1" s="3758"/>
      <c r="J1" s="3758"/>
      <c r="K1" s="3758"/>
      <c r="L1" s="3758"/>
      <c r="M1" s="3758"/>
      <c r="N1" s="3758"/>
      <c r="O1" s="3758"/>
      <c r="P1" s="3758"/>
      <c r="Q1" s="3758"/>
      <c r="R1" s="3758"/>
      <c r="S1" s="375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4" t="s">
        <v>27</v>
      </c>
      <c r="D22" s="3755"/>
      <c r="E22" s="3755"/>
      <c r="F22" s="3755"/>
      <c r="G22" s="3755"/>
      <c r="H22" s="3755"/>
      <c r="I22" s="3755"/>
      <c r="J22" s="3755"/>
      <c r="K22" s="3755"/>
      <c r="L22" s="3755"/>
      <c r="M22" s="3755"/>
      <c r="N22" s="3755"/>
      <c r="O22" s="3755"/>
      <c r="P22" s="3755"/>
      <c r="Q22" s="375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0</v>
      </c>
      <c r="C2" s="2144" t="s">
        <v>2073</v>
      </c>
      <c r="D2" s="2144" t="s">
        <v>2074</v>
      </c>
      <c r="E2" s="2608">
        <f ca="1">SUMIF(E6:E13,"&lt;&gt;#ref!",E6:E13)</f>
        <v>131.02000000000001</v>
      </c>
      <c r="F2" s="2789"/>
      <c r="G2" s="2789"/>
      <c r="H2" s="2789"/>
      <c r="I2" s="2789"/>
      <c r="J2" s="2789"/>
      <c r="K2" s="2789"/>
      <c r="L2" s="2789"/>
      <c r="M2" s="2789"/>
      <c r="N2" s="2789"/>
      <c r="O2" s="2789"/>
      <c r="P2" s="2789"/>
    </row>
    <row r="3" spans="1:16" ht="15.75">
      <c r="A3" s="2144" t="s">
        <v>2075</v>
      </c>
      <c r="B3" s="2598">
        <f ca="1">ROUND(B2*10000/E2,0)</f>
        <v>0</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0</v>
      </c>
      <c r="C6" s="2144" t="s">
        <v>2073</v>
      </c>
      <c r="D6" s="2789"/>
      <c r="E6" s="2608">
        <f ca="1">SUMIF(INDIRECT("'"&amp;A6&amp;"'"&amp;"!C:C"),"建筑面积",INDIRECT("'"&amp;A6&amp;"'"&amp;"!D:D"))</f>
        <v>131.02000000000001</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131.02000000000001</v>
      </c>
      <c r="E1" s="1994"/>
      <c r="F1" s="1994"/>
      <c r="G1" s="1994"/>
      <c r="H1" s="1994"/>
      <c r="I1" s="1994"/>
      <c r="J1" s="1994"/>
      <c r="K1" s="1118"/>
      <c r="L1" s="1995" t="s">
        <v>1927</v>
      </c>
      <c r="M1" s="862">
        <f>SUMPRODUCT((区片价!B5:B9=I2)*(区片价!C3:G3=E2)*(区片价!C5:G9))</f>
        <v>34470</v>
      </c>
      <c r="N1" s="865">
        <f>SUMPRODUCT((因素修正幅度!B5:B9=I2)*(因素修正幅度!C3:G3=E2)*(因素修正幅度!C5:G9))</f>
        <v>8.6999999999999994E-2</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0</v>
      </c>
      <c r="C2" s="1998" t="s">
        <v>1934</v>
      </c>
      <c r="D2" s="1999" t="s">
        <v>1935</v>
      </c>
      <c r="E2" s="3418"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Ⅰ—01</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1.5206</v>
      </c>
      <c r="T2" s="3357">
        <f t="shared" ref="T2:T16" si="0">ROUND($C$5*$C$22*$C$23*$C$24*S2*$C$28,0)</f>
        <v>41798</v>
      </c>
      <c r="U2" s="1212"/>
      <c r="V2" s="3357">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0</v>
      </c>
      <c r="C3" s="1998" t="s">
        <v>1940</v>
      </c>
      <c r="D3" s="1999" t="s">
        <v>1941</v>
      </c>
      <c r="E3" s="3416" t="s">
        <v>3450</v>
      </c>
      <c r="F3" s="2003" t="s">
        <v>3451</v>
      </c>
      <c r="G3" s="751">
        <f>IF(F3="宗地容积率",'数据-汇总表'!I4,IF(F3="估价对象容积率",'数据-汇总表'!I6,'数据-汇总表'!I7))</f>
        <v>10.83</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33183</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28673</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36163</v>
      </c>
      <c r="D5" s="1338">
        <f>ROUND(C6*C17+C20,0)</f>
        <v>34439</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25946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34470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24728</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3236</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一级</v>
      </c>
      <c r="Y7" s="1213" t="s">
        <v>1955</v>
      </c>
      <c r="Z7" s="1214">
        <f>G3</f>
        <v>10.83</v>
      </c>
      <c r="AA7" s="1215"/>
      <c r="AB7" s="1215"/>
      <c r="AC7" s="1216"/>
      <c r="AD7" s="1217"/>
      <c r="AE7" s="1217"/>
      <c r="AF7" s="1217"/>
      <c r="AG7" s="1217"/>
      <c r="AH7" s="1217"/>
      <c r="AI7" s="1217"/>
      <c r="AJ7" s="1218"/>
    </row>
    <row r="8" spans="1:36" ht="25.5">
      <c r="A8" s="3295"/>
      <c r="B8" s="169" t="s">
        <v>1956</v>
      </c>
      <c r="C8" s="2025" t="s">
        <v>3452</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64" t="s">
        <v>1959</v>
      </c>
      <c r="X8" s="376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66"/>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3237</v>
      </c>
      <c r="B12" s="3301" t="s">
        <v>3238</v>
      </c>
      <c r="C12" s="3302">
        <v>1.05</v>
      </c>
      <c r="D12" s="3303" t="s">
        <v>3239</v>
      </c>
      <c r="E12" s="3304" t="s">
        <v>3240</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3241</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3242</v>
      </c>
      <c r="G14" s="3308" t="s">
        <v>3242</v>
      </c>
      <c r="H14" s="3308" t="s">
        <v>3242</v>
      </c>
      <c r="I14" s="3308" t="s">
        <v>3242</v>
      </c>
      <c r="J14" s="3308" t="s">
        <v>3242</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3247</v>
      </c>
      <c r="E18" s="3325"/>
      <c r="F18" s="3320" t="s">
        <v>3250</v>
      </c>
      <c r="G18" s="3324">
        <f>ROUND(1-(1/(POWER(1+G24,E18))),4)</f>
        <v>0</v>
      </c>
      <c r="H18" s="3320" t="s">
        <v>3252</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3248</v>
      </c>
      <c r="E19" s="3334"/>
      <c r="F19" s="3335" t="s">
        <v>3251</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71" t="s">
        <v>3253</v>
      </c>
      <c r="B20" s="166" t="s">
        <v>1993</v>
      </c>
      <c r="C20" s="3321">
        <f>ROUND(IF(F21="与级别开发程度一致",0,(G21-E21)/C21),0)</f>
        <v>-31</v>
      </c>
      <c r="D20" s="3337" t="s">
        <v>1997</v>
      </c>
      <c r="E20" s="3338"/>
      <c r="F20" s="3777" t="s">
        <v>1994</v>
      </c>
      <c r="G20" s="3778"/>
      <c r="H20" s="3322" t="s">
        <v>3453</v>
      </c>
      <c r="I20" s="3322" t="s">
        <v>3454</v>
      </c>
      <c r="J20" s="3323" t="s">
        <v>3455</v>
      </c>
      <c r="K20" s="2046" t="s">
        <v>3456</v>
      </c>
      <c r="L20" s="2046" t="s">
        <v>3457</v>
      </c>
      <c r="M20" s="2046" t="s">
        <v>3458</v>
      </c>
      <c r="N20" s="2046"/>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72"/>
      <c r="B21" s="2163" t="s">
        <v>1996</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3461</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0">
        <v>44197</v>
      </c>
      <c r="F23" s="2053" t="s">
        <v>2002</v>
      </c>
      <c r="G23" s="761">
        <f>'数据-取费表'!B2</f>
        <v>45407</v>
      </c>
      <c r="H23" s="3339" t="s">
        <v>3255</v>
      </c>
      <c r="I23" s="3340" t="str">
        <f>IF(H23="季度增幅（自定义）",SUMIF(N25:N28,E2,O25:O28),"")</f>
        <v/>
      </c>
      <c r="J23" s="3442" t="s">
        <v>3254</v>
      </c>
      <c r="K23" s="1124"/>
      <c r="L23" s="2054" t="s">
        <v>2003</v>
      </c>
      <c r="M23" s="1327">
        <f>ROUND(SUMIF(地价!B2:G2,E2,地价!B16:G16),0)</f>
        <v>350</v>
      </c>
      <c r="N23" s="2055" t="s">
        <v>2004</v>
      </c>
      <c r="O23" s="762">
        <f>ROUNDDOWN(DATEDIF(E23,G23,"M")/3,0)</f>
        <v>13</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0.70860000000000001</v>
      </c>
      <c r="D24" s="2059" t="s">
        <v>2006</v>
      </c>
      <c r="E24" s="1334">
        <f>存贷款利率!E24/100</f>
        <v>4.3499999999999997E-2</v>
      </c>
      <c r="F24" s="2059" t="s">
        <v>1998</v>
      </c>
      <c r="G24" s="767">
        <f>SUMIF(M30:Q30,E2,M33:Q33)</f>
        <v>5.5E-2</v>
      </c>
      <c r="H24" s="2059" t="s">
        <v>2007</v>
      </c>
      <c r="I24" s="768">
        <f>SUMIF('数据-取费表'!C6:C15,E2,'数据-取费表'!F6:F15)/COUNTIF('数据-取费表'!C6:C15,E2)</f>
        <v>20.14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3334</v>
      </c>
      <c r="C25" s="770">
        <f>IF(B25="容积率修正",IF(G3&lt;10,D26,J26),C27)</f>
        <v>0</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1" t="s">
        <v>3256</v>
      </c>
      <c r="D26" s="1351" t="str">
        <f>IF(E26=G26,F26,IF(G3&lt;10,ROUND(F26+(H26-F26)*(G3-E26)/(G26-E26),4),"——"))</f>
        <v>——</v>
      </c>
      <c r="E26" s="751">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3257</v>
      </c>
      <c r="J26" s="771">
        <f>IF(G3&gt;=10,D115,"——")</f>
        <v>0</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1.0448999999999999</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0</v>
      </c>
      <c r="D30" s="2082"/>
      <c r="E30" s="2045"/>
      <c r="F30" s="2083"/>
      <c r="G30" s="2045"/>
      <c r="H30" s="2045"/>
      <c r="I30" s="2045"/>
      <c r="J30" s="2084"/>
      <c r="K30" s="1118"/>
      <c r="L30" s="3347" t="s">
        <v>1935</v>
      </c>
      <c r="M30" s="3348" t="s">
        <v>1989</v>
      </c>
      <c r="N30" s="3348" t="s">
        <v>1990</v>
      </c>
      <c r="O30" s="3348" t="s">
        <v>1991</v>
      </c>
      <c r="P30" s="3348" t="s">
        <v>1992</v>
      </c>
      <c r="Q30" s="3351"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0</v>
      </c>
      <c r="D33" s="2097">
        <v>131.02000000000001</v>
      </c>
      <c r="E33" s="772">
        <f>ROUND(C33*D33/10000,0)</f>
        <v>0</v>
      </c>
      <c r="F33" s="3342" t="s">
        <v>3259</v>
      </c>
      <c r="G33" s="2098"/>
      <c r="H33" s="2098"/>
      <c r="I33" s="2098"/>
      <c r="J33" s="2099"/>
      <c r="K33" s="1118"/>
      <c r="L33" s="3345" t="s">
        <v>3262</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0</v>
      </c>
      <c r="D34" s="2102"/>
      <c r="E34" s="772">
        <f>ROUND(IF(B25="楼层修正",SUM(V2:V16)*M40,C34*D34/10000),0)</f>
        <v>0</v>
      </c>
      <c r="F34" s="2103" t="s">
        <v>2031</v>
      </c>
      <c r="G34" s="2104"/>
      <c r="H34" s="2104"/>
      <c r="I34" s="2104"/>
      <c r="J34" s="2105"/>
      <c r="K34" s="1118"/>
      <c r="L34" s="3345" t="s">
        <v>3263</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3260</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5"/>
      <c r="B37" s="2112" t="s">
        <v>2035</v>
      </c>
      <c r="C37" s="174">
        <f>ROUND(D5*C22*C23*C24*C28*F37,0)</f>
        <v>18324</v>
      </c>
      <c r="D37" s="2097"/>
      <c r="E37" s="170">
        <f>ROUND(C37*D37/10000,0)</f>
        <v>0</v>
      </c>
      <c r="F37" s="170">
        <f>SUMIF(修正!A57:A68,G2,修正!B57:B68)</f>
        <v>0.7</v>
      </c>
      <c r="G37" s="170">
        <f>ROUND(IF(E2="工业",C37*$M$42,C37*$M$41),0)</f>
        <v>4581</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2036</v>
      </c>
      <c r="C38" s="174">
        <f>ROUND(D5*C22*C23*C24*C28*F38,0)</f>
        <v>10471</v>
      </c>
      <c r="D38" s="2097"/>
      <c r="E38" s="170">
        <f t="shared" ref="E38:E42" si="4">ROUND(C38*D38/10000,0)</f>
        <v>0</v>
      </c>
      <c r="F38" s="170">
        <f>SUMIF(修正!A57:A68,G2,修正!C57:C68)</f>
        <v>0.4</v>
      </c>
      <c r="G38" s="170">
        <f>ROUND(IF(E2="工业",C38*$M$42,C38*$M$41),0)</f>
        <v>2618</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76"/>
      <c r="B39" s="2040" t="s">
        <v>3258</v>
      </c>
      <c r="C39" s="174">
        <f>ROUND(D5*C22*C23*C24*C28*F39,0)</f>
        <v>7853</v>
      </c>
      <c r="D39" s="2097"/>
      <c r="E39" s="170">
        <f t="shared" si="4"/>
        <v>0</v>
      </c>
      <c r="F39" s="170">
        <f>SUMIF(修正!A57:A68,G2,修正!D57:D68)</f>
        <v>0.3</v>
      </c>
      <c r="G39" s="170">
        <f>ROUND(IF(E2="工业",C39*$M$42,C39*$M$41),0)</f>
        <v>1963</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7853</v>
      </c>
      <c r="D40" s="2097"/>
      <c r="E40" s="170">
        <f t="shared" si="4"/>
        <v>0</v>
      </c>
      <c r="F40" s="174">
        <f>SUMIF(修正!A57:A68,G2,修正!E57:E68)</f>
        <v>0.3</v>
      </c>
      <c r="G40" s="170">
        <f>ROUND(IF(E2="工业",C40*$M$42,C40*$M$41),0)</f>
        <v>1963</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7857</v>
      </c>
      <c r="D41" s="2097"/>
      <c r="E41" s="170">
        <f t="shared" si="4"/>
        <v>0</v>
      </c>
      <c r="F41" s="174">
        <f>SUMIF(修正!A57:A68,G2,修正!F57:F68)</f>
        <v>0.3</v>
      </c>
      <c r="G41" s="170">
        <f>ROUND(IF(E2="工业",C41*$M$42,C41*$M$41),0)</f>
        <v>1964</v>
      </c>
      <c r="H41" s="170">
        <f t="shared" si="5"/>
        <v>0</v>
      </c>
      <c r="I41" s="170">
        <f t="shared" si="6"/>
        <v>0</v>
      </c>
      <c r="J41" s="2113"/>
      <c r="L41" s="3356" t="s">
        <v>3266</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5238</v>
      </c>
      <c r="D42" s="2102"/>
      <c r="E42" s="186">
        <f t="shared" si="4"/>
        <v>0</v>
      </c>
      <c r="F42" s="766">
        <f>SUMIF(修正!A57:A68,G2,修正!G57:G68)</f>
        <v>0.2</v>
      </c>
      <c r="G42" s="186">
        <f>ROUND(IF(E2="工业",C42*$M$42,C42*$M$41),0)</f>
        <v>1310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0.70889999999999997</v>
      </c>
      <c r="D44" s="170" t="s">
        <v>1998</v>
      </c>
      <c r="E44" s="2152">
        <f>G24</f>
        <v>5.5E-2</v>
      </c>
      <c r="F44" s="170" t="s">
        <v>2007</v>
      </c>
      <c r="G44" s="182">
        <v>20.16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24.75">
      <c r="A50" s="2129" t="s">
        <v>2051</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2052</v>
      </c>
      <c r="B51" s="2133" t="str">
        <f>估价对象房地状况!C18</f>
        <v>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3268</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较好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2060</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1.0448999999999999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较好</v>
      </c>
      <c r="C61" s="2043" t="s">
        <v>3411</v>
      </c>
      <c r="D61" s="1064">
        <f t="shared" ref="D61:D69" si="12">SUMIF($J$60:$N$60,C61,J61:N61)</f>
        <v>1.0800000000000001E-2</v>
      </c>
      <c r="E61" s="743">
        <f>ROUND(SUM(D61:D69),4)</f>
        <v>4.4900000000000002E-2</v>
      </c>
      <c r="F61" s="1813">
        <f>IF(E2="办公",SUMIF(L1:L12,G2,N1:N12),"——")</f>
        <v>8.6999999999999994E-2</v>
      </c>
      <c r="G61" s="1062">
        <f t="shared" ref="G61:G69" si="13">H61</f>
        <v>1.0800000000000001E-2</v>
      </c>
      <c r="H61" s="1065">
        <f t="shared" ref="H61:H69" si="14">IFERROR(ROUNDDOWN($F$61*I61/2,4),"——")</f>
        <v>1.0800000000000001E-2</v>
      </c>
      <c r="I61" s="3363">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14.25">
      <c r="A62" s="2129" t="s">
        <v>2052</v>
      </c>
      <c r="B62" s="2133" t="str">
        <f>估价对象房地状况!C18</f>
        <v>较好</v>
      </c>
      <c r="C62" s="2043" t="s">
        <v>3411</v>
      </c>
      <c r="D62" s="1064">
        <f t="shared" si="12"/>
        <v>1.1299999999999999E-2</v>
      </c>
      <c r="E62" s="744"/>
      <c r="F62" s="1813"/>
      <c r="G62" s="1062">
        <f t="shared" si="13"/>
        <v>1.1299999999999999E-2</v>
      </c>
      <c r="H62" s="1065">
        <f t="shared" si="14"/>
        <v>1.1299999999999999E-2</v>
      </c>
      <c r="I62" s="3363">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36">
      <c r="A63" s="3365" t="s">
        <v>3268</v>
      </c>
      <c r="B63" s="2133">
        <f>估价对象房地状况!C19</f>
        <v>0</v>
      </c>
      <c r="C63" s="2043" t="s">
        <v>3411</v>
      </c>
      <c r="D63" s="1064">
        <f t="shared" si="12"/>
        <v>4.7000000000000002E-3</v>
      </c>
      <c r="E63" s="744"/>
      <c r="F63" s="1813"/>
      <c r="G63" s="1062">
        <f t="shared" si="13"/>
        <v>4.7000000000000002E-3</v>
      </c>
      <c r="H63" s="1065">
        <f t="shared" si="14"/>
        <v>4.7000000000000002E-3</v>
      </c>
      <c r="I63" s="3363">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6.75">
      <c r="A64" s="2129" t="s">
        <v>2053</v>
      </c>
      <c r="B64" s="2134" t="s">
        <v>2054</v>
      </c>
      <c r="C64" s="2043" t="s">
        <v>3411</v>
      </c>
      <c r="D64" s="1064">
        <f t="shared" si="12"/>
        <v>2.0999999999999999E-3</v>
      </c>
      <c r="E64" s="744"/>
      <c r="F64" s="1813"/>
      <c r="G64" s="1062">
        <f t="shared" si="13"/>
        <v>2.0999999999999999E-3</v>
      </c>
      <c r="H64" s="1065">
        <f t="shared" si="14"/>
        <v>2.0999999999999999E-3</v>
      </c>
      <c r="I64" s="3363">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3443</v>
      </c>
      <c r="D65" s="1064">
        <f t="shared" si="12"/>
        <v>0</v>
      </c>
      <c r="E65" s="744"/>
      <c r="F65" s="1813"/>
      <c r="G65" s="1062">
        <f t="shared" si="13"/>
        <v>2.0999999999999999E-3</v>
      </c>
      <c r="H65" s="1065">
        <f t="shared" si="14"/>
        <v>2.0999999999999999E-3</v>
      </c>
      <c r="I65" s="3363">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24">
      <c r="A66" s="2129" t="s">
        <v>2056</v>
      </c>
      <c r="B66" s="2135" t="s">
        <v>2057</v>
      </c>
      <c r="C66" s="2043" t="s">
        <v>3411</v>
      </c>
      <c r="D66" s="1064">
        <f t="shared" si="12"/>
        <v>2.5999999999999999E-3</v>
      </c>
      <c r="E66" s="744"/>
      <c r="F66" s="1813"/>
      <c r="G66" s="1062">
        <f t="shared" si="13"/>
        <v>2.5999999999999999E-3</v>
      </c>
      <c r="H66" s="1065">
        <f t="shared" si="14"/>
        <v>2.5999999999999999E-3</v>
      </c>
      <c r="I66" s="3363">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4">
      <c r="A67" s="2129" t="s">
        <v>2058</v>
      </c>
      <c r="B67" s="1325" t="str">
        <f>估价对象房地状况!C21</f>
        <v>较好</v>
      </c>
      <c r="C67" s="2043" t="s">
        <v>3411</v>
      </c>
      <c r="D67" s="1064">
        <f t="shared" si="12"/>
        <v>2.5999999999999999E-3</v>
      </c>
      <c r="E67" s="744"/>
      <c r="F67" s="1813"/>
      <c r="G67" s="1062">
        <f t="shared" si="13"/>
        <v>2.5999999999999999E-3</v>
      </c>
      <c r="H67" s="1065">
        <f t="shared" si="14"/>
        <v>2.5999999999999999E-3</v>
      </c>
      <c r="I67" s="3363">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t="s">
        <v>3462</v>
      </c>
      <c r="D68" s="1064">
        <f t="shared" si="12"/>
        <v>7.7999999999999996E-3</v>
      </c>
      <c r="E68" s="744"/>
      <c r="F68" s="1813"/>
      <c r="G68" s="1062">
        <f t="shared" si="13"/>
        <v>3.8999999999999998E-3</v>
      </c>
      <c r="H68" s="1065">
        <f t="shared" si="14"/>
        <v>3.8999999999999998E-3</v>
      </c>
      <c r="I68" s="3363">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24.75" thickBot="1">
      <c r="A69" s="2137" t="s">
        <v>2060</v>
      </c>
      <c r="B69" s="2139" t="str">
        <f>估价对象房地状况!C20</f>
        <v>较好</v>
      </c>
      <c r="C69" s="2043" t="s">
        <v>3411</v>
      </c>
      <c r="D69" s="1064">
        <f t="shared" si="12"/>
        <v>3.0000000000000001E-3</v>
      </c>
      <c r="E69" s="745"/>
      <c r="F69" s="1813"/>
      <c r="G69" s="1062">
        <f t="shared" si="13"/>
        <v>3.0000000000000001E-3</v>
      </c>
      <c r="H69" s="1065">
        <f t="shared" si="14"/>
        <v>3.0000000000000001E-3</v>
      </c>
      <c r="I69" s="3364">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2052</v>
      </c>
      <c r="B73" s="2133" t="str">
        <f>估价对象房地状况!C18</f>
        <v>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5" t="s">
        <v>3268</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2058</v>
      </c>
      <c r="B76" s="1325" t="str">
        <f>估价对象房地状况!C21</f>
        <v>较好</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2059</v>
      </c>
      <c r="B77" s="1325" t="str">
        <f>估价对象房地状况!C22</f>
        <v>七通</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2056</v>
      </c>
      <c r="B78" s="2135" t="s">
        <v>2057</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2060</v>
      </c>
      <c r="B79" s="2132" t="str">
        <f>估价对象房地状况!C20</f>
        <v>较好</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24.75" thickBot="1">
      <c r="A80" s="2137" t="s">
        <v>2067</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36">
      <c r="A85" s="3365" t="s">
        <v>3269</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4.25">
      <c r="A86" s="2129" t="s">
        <v>2066</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5.5">
      <c r="A87" s="2129" t="s">
        <v>2058</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5.5">
      <c r="A88" s="2129" t="s">
        <v>2059</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24">
      <c r="A89" s="2129" t="s">
        <v>2056</v>
      </c>
      <c r="B89" s="2135" t="s">
        <v>2070</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39"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3272</v>
      </c>
      <c r="B94" s="3366" t="str">
        <f>估价对象房地状况!C18</f>
        <v>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3268</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3273</v>
      </c>
      <c r="B96" s="3381" t="s">
        <v>3284</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3275</v>
      </c>
      <c r="B98" s="3382" t="s">
        <v>3285</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4">
      <c r="A99" s="3375" t="s">
        <v>3276</v>
      </c>
      <c r="B99" s="3366" t="str">
        <f>估价对象房地状况!C21</f>
        <v>较好</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4">
      <c r="A100" s="3375" t="s">
        <v>3277</v>
      </c>
      <c r="B100" s="3366" t="str">
        <f>估价对象房地状况!C22</f>
        <v>七通</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3278</v>
      </c>
      <c r="B101" s="3383" t="str">
        <f>估价对象房地状况!C20</f>
        <v>较好</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3" t="s">
        <v>3293</v>
      </c>
      <c r="B103" s="3773"/>
      <c r="C103" s="3773"/>
      <c r="D103" s="3773"/>
      <c r="E103" s="3773"/>
      <c r="F103" s="3773"/>
      <c r="G103" s="3773"/>
      <c r="H103" s="3773"/>
      <c r="I103" s="3773"/>
      <c r="J103" s="3773"/>
      <c r="K103" s="3386"/>
      <c r="L103" s="3386"/>
      <c r="M103" s="3386"/>
      <c r="N103" s="3386"/>
    </row>
    <row r="104" spans="1:14">
      <c r="A104" s="3774" t="s">
        <v>3294</v>
      </c>
      <c r="B104" s="3774" t="s">
        <v>3295</v>
      </c>
      <c r="C104" s="3387" t="s">
        <v>3296</v>
      </c>
      <c r="D104" s="3388"/>
      <c r="E104" s="3388"/>
      <c r="F104" s="3388"/>
      <c r="G104" s="3388"/>
      <c r="H104" s="3388"/>
      <c r="I104" s="3388"/>
      <c r="J104" s="3389"/>
      <c r="K104" s="3390"/>
      <c r="L104" s="3390"/>
      <c r="M104" s="3390"/>
      <c r="N104" s="3390"/>
    </row>
    <row r="105" spans="1:14">
      <c r="A105" s="3774"/>
      <c r="B105" s="3774"/>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60"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3" t="s">
        <v>3310</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10.83</v>
      </c>
      <c r="C116" s="3396" t="s">
        <v>3312</v>
      </c>
      <c r="D116" s="3397">
        <f>SUMPRODUCT((A118:A122=F116)*(B117:M117=H116)*B118:M122)</f>
        <v>0.87170000000000003</v>
      </c>
      <c r="E116" s="1999" t="s">
        <v>3313</v>
      </c>
      <c r="F116" s="3398" t="str">
        <f>E2</f>
        <v>办公</v>
      </c>
      <c r="G116" s="1999" t="s">
        <v>3314</v>
      </c>
      <c r="H116" s="3398" t="str">
        <f>G2</f>
        <v>一级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0.87770000000000004</v>
      </c>
      <c r="C118" s="3384">
        <f>B118</f>
        <v>0.87770000000000004</v>
      </c>
      <c r="D118" s="3384">
        <f>ROUND(0.949-0.014*B116,4)</f>
        <v>0.7974</v>
      </c>
      <c r="E118" s="3384">
        <f>D118</f>
        <v>0.7974</v>
      </c>
      <c r="F118" s="3384">
        <f>E118</f>
        <v>0.7974</v>
      </c>
      <c r="G118" s="3384">
        <f>F118</f>
        <v>0.7974</v>
      </c>
      <c r="H118" s="3384">
        <f>G118</f>
        <v>0.7974</v>
      </c>
      <c r="I118" s="3384">
        <f>ROUND(0.8486-0.018*B116,4)</f>
        <v>0.65369999999999995</v>
      </c>
      <c r="J118" s="3384">
        <f t="shared" ref="J118:M122" si="36">I118</f>
        <v>0.65369999999999995</v>
      </c>
      <c r="K118" s="3384">
        <f t="shared" si="36"/>
        <v>0.65369999999999995</v>
      </c>
      <c r="L118" s="3384">
        <f t="shared" si="36"/>
        <v>0.65369999999999995</v>
      </c>
      <c r="M118" s="3407">
        <f t="shared" si="36"/>
        <v>0.65369999999999995</v>
      </c>
      <c r="N118" s="3394"/>
    </row>
    <row r="119" spans="1:14">
      <c r="A119" s="3406" t="s">
        <v>3328</v>
      </c>
      <c r="B119" s="3384">
        <f>ROUND(0.993-0.0112*B116,4)</f>
        <v>0.87170000000000003</v>
      </c>
      <c r="C119" s="3384">
        <f>B119</f>
        <v>0.87170000000000003</v>
      </c>
      <c r="D119" s="3384">
        <f>ROUND(0.9415-0.0142*B116,4)</f>
        <v>0.78769999999999996</v>
      </c>
      <c r="E119" s="3384">
        <f t="shared" ref="E119:H120" si="37">D119</f>
        <v>0.78769999999999996</v>
      </c>
      <c r="F119" s="3384">
        <f t="shared" si="37"/>
        <v>0.78769999999999996</v>
      </c>
      <c r="G119" s="3384">
        <f t="shared" si="37"/>
        <v>0.78769999999999996</v>
      </c>
      <c r="H119" s="3384">
        <f t="shared" si="37"/>
        <v>0.78769999999999996</v>
      </c>
      <c r="I119" s="3384">
        <f>ROUND(0.838-0.0182*B116,4)</f>
        <v>0.64090000000000003</v>
      </c>
      <c r="J119" s="3384">
        <f t="shared" si="36"/>
        <v>0.64090000000000003</v>
      </c>
      <c r="K119" s="3384">
        <f t="shared" si="36"/>
        <v>0.64090000000000003</v>
      </c>
      <c r="L119" s="3384">
        <f t="shared" si="36"/>
        <v>0.64090000000000003</v>
      </c>
      <c r="M119" s="3407">
        <f t="shared" si="36"/>
        <v>0.64090000000000003</v>
      </c>
      <c r="N119" s="3394"/>
    </row>
    <row r="120" spans="1:14">
      <c r="A120" s="3406" t="s">
        <v>3329</v>
      </c>
      <c r="B120" s="3384">
        <f>ROUND(0.9448-0.0115*B116,4)</f>
        <v>0.82030000000000003</v>
      </c>
      <c r="C120" s="3384">
        <f>B120</f>
        <v>0.82030000000000003</v>
      </c>
      <c r="D120" s="3384">
        <f>ROUND(0.937-0.0145*B116,4)</f>
        <v>0.78</v>
      </c>
      <c r="E120" s="3384">
        <f t="shared" si="37"/>
        <v>0.78</v>
      </c>
      <c r="F120" s="3384">
        <f t="shared" si="37"/>
        <v>0.78</v>
      </c>
      <c r="G120" s="3384">
        <f t="shared" si="37"/>
        <v>0.78</v>
      </c>
      <c r="H120" s="3384">
        <f t="shared" si="37"/>
        <v>0.78</v>
      </c>
      <c r="I120" s="3384">
        <f>ROUND(0.7965-0.0185*B116,4)</f>
        <v>0.59609999999999996</v>
      </c>
      <c r="J120" s="3384">
        <f t="shared" si="36"/>
        <v>0.59609999999999996</v>
      </c>
      <c r="K120" s="3384">
        <f t="shared" si="36"/>
        <v>0.59609999999999996</v>
      </c>
      <c r="L120" s="3384">
        <f t="shared" si="36"/>
        <v>0.59609999999999996</v>
      </c>
      <c r="M120" s="3407">
        <f t="shared" si="36"/>
        <v>0.59609999999999996</v>
      </c>
      <c r="N120" s="3394"/>
    </row>
    <row r="121" spans="1:14" ht="13.5" thickBot="1">
      <c r="A121" s="3408" t="s">
        <v>3330</v>
      </c>
      <c r="B121" s="3409">
        <f>ROUND(0.7836-0.012*B116,4)</f>
        <v>0.65359999999999996</v>
      </c>
      <c r="C121" s="3409">
        <f>B121</f>
        <v>0.65359999999999996</v>
      </c>
      <c r="D121" s="3409">
        <f>ROUND(0.753-0.015*B116,4)</f>
        <v>0.59060000000000001</v>
      </c>
      <c r="E121" s="3409">
        <f>D121</f>
        <v>0.59060000000000001</v>
      </c>
      <c r="F121" s="3409">
        <f>E121</f>
        <v>0.59060000000000001</v>
      </c>
      <c r="G121" s="3409">
        <f>ROUND(0.6612-0.018*B116,4)</f>
        <v>0.46629999999999999</v>
      </c>
      <c r="H121" s="3409">
        <f>G121</f>
        <v>0.46629999999999999</v>
      </c>
      <c r="I121" s="3409">
        <f>ROUND(0.5905-0.019*B116,4)</f>
        <v>0.38469999999999999</v>
      </c>
      <c r="J121" s="3409">
        <f t="shared" si="36"/>
        <v>0.38469999999999999</v>
      </c>
      <c r="K121" s="3409">
        <f t="shared" si="36"/>
        <v>0.38469999999999999</v>
      </c>
      <c r="L121" s="3409">
        <f t="shared" si="36"/>
        <v>0.38469999999999999</v>
      </c>
      <c r="M121" s="3410">
        <f t="shared" si="36"/>
        <v>0.38469999999999999</v>
      </c>
      <c r="N121" s="3394"/>
    </row>
    <row r="122" spans="1:14">
      <c r="A122" s="3411" t="s">
        <v>2611</v>
      </c>
      <c r="B122" s="3384">
        <f>ROUND(0.9404-0.0106*B116,4)</f>
        <v>0.8256</v>
      </c>
      <c r="C122" s="3384">
        <f>B122</f>
        <v>0.8256</v>
      </c>
      <c r="D122" s="3384">
        <f>ROUND(0.8955-0.0135*B116,4)</f>
        <v>0.74929999999999997</v>
      </c>
      <c r="E122" s="3384">
        <f t="shared" ref="E122:H122" si="38">D122</f>
        <v>0.74929999999999997</v>
      </c>
      <c r="F122" s="3384">
        <f t="shared" si="38"/>
        <v>0.74929999999999997</v>
      </c>
      <c r="G122" s="3384">
        <f t="shared" si="38"/>
        <v>0.74929999999999997</v>
      </c>
      <c r="H122" s="3384">
        <f t="shared" si="38"/>
        <v>0.74929999999999997</v>
      </c>
      <c r="I122" s="3384">
        <f>ROUND(0.7632-0.0166*B116,4)</f>
        <v>0.58340000000000003</v>
      </c>
      <c r="J122" s="3384">
        <f t="shared" si="36"/>
        <v>0.58340000000000003</v>
      </c>
      <c r="K122" s="3384">
        <f t="shared" si="36"/>
        <v>0.58340000000000003</v>
      </c>
      <c r="L122" s="3384">
        <f t="shared" si="36"/>
        <v>0.58340000000000003</v>
      </c>
      <c r="M122" s="3407">
        <f t="shared" si="36"/>
        <v>0.58340000000000003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8" t="s">
        <v>2606</v>
      </c>
      <c r="B20" s="3783" t="s">
        <v>2627</v>
      </c>
      <c r="C20" s="3099" t="s">
        <v>2438</v>
      </c>
      <c r="D20" s="3100"/>
      <c r="E20" s="3101">
        <v>1</v>
      </c>
      <c r="F20" s="3102" t="s">
        <v>2439</v>
      </c>
      <c r="G20" s="3102"/>
    </row>
    <row r="21" spans="1:13" ht="19.5" customHeight="1">
      <c r="A21" s="3789"/>
      <c r="B21" s="3782"/>
      <c r="C21" s="3103" t="s">
        <v>2440</v>
      </c>
      <c r="D21" s="3104"/>
      <c r="E21" s="3105">
        <v>1</v>
      </c>
      <c r="F21" s="3102" t="s">
        <v>2441</v>
      </c>
      <c r="G21" s="3102"/>
    </row>
    <row r="22" spans="1:13" ht="19.5" customHeight="1">
      <c r="A22" s="3789"/>
      <c r="B22" s="3782"/>
      <c r="C22" s="3103" t="s">
        <v>2442</v>
      </c>
      <c r="D22" s="3104"/>
      <c r="E22" s="3105">
        <v>0.9</v>
      </c>
      <c r="F22" s="3102" t="s">
        <v>2443</v>
      </c>
      <c r="G22" s="3102"/>
    </row>
    <row r="23" spans="1:13" ht="19.5" customHeight="1">
      <c r="A23" s="3789"/>
      <c r="B23" s="3782"/>
      <c r="C23" s="3103" t="s">
        <v>2444</v>
      </c>
      <c r="D23" s="3104"/>
      <c r="E23" s="3105">
        <v>0.9</v>
      </c>
      <c r="F23" s="3102" t="s">
        <v>2445</v>
      </c>
      <c r="G23" s="3102"/>
    </row>
    <row r="24" spans="1:13" ht="19.5" customHeight="1">
      <c r="A24" s="3789"/>
      <c r="B24" s="3782"/>
      <c r="C24" s="3103" t="s">
        <v>2446</v>
      </c>
      <c r="D24" s="3104"/>
      <c r="E24" s="3105">
        <v>0.8</v>
      </c>
      <c r="F24" s="3102" t="s">
        <v>2447</v>
      </c>
      <c r="G24" s="3102"/>
    </row>
    <row r="25" spans="1:13" ht="19.5" customHeight="1" thickBot="1">
      <c r="A25" s="3790"/>
      <c r="B25" s="3784"/>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5" t="s">
        <v>2630</v>
      </c>
      <c r="B27" s="3783" t="s">
        <v>2611</v>
      </c>
      <c r="C27" s="3099" t="s">
        <v>2451</v>
      </c>
      <c r="D27" s="3100"/>
      <c r="E27" s="3101">
        <v>1</v>
      </c>
      <c r="F27" s="3102" t="s">
        <v>2452</v>
      </c>
      <c r="G27" s="3102"/>
    </row>
    <row r="28" spans="1:13" ht="19.5" customHeight="1">
      <c r="A28" s="3786"/>
      <c r="B28" s="3782"/>
      <c r="C28" s="3103" t="s">
        <v>2453</v>
      </c>
      <c r="D28" s="3104"/>
      <c r="E28" s="3105">
        <v>1</v>
      </c>
      <c r="F28" s="3102" t="s">
        <v>2454</v>
      </c>
      <c r="G28" s="3102"/>
    </row>
    <row r="29" spans="1:13" ht="19.5" customHeight="1">
      <c r="A29" s="3786"/>
      <c r="B29" s="3782"/>
      <c r="C29" s="3103" t="s">
        <v>2455</v>
      </c>
      <c r="D29" s="3104"/>
      <c r="E29" s="3105">
        <v>0.8</v>
      </c>
      <c r="F29" s="3102" t="s">
        <v>2456</v>
      </c>
      <c r="G29" s="3102"/>
    </row>
    <row r="30" spans="1:13" ht="19.5" customHeight="1">
      <c r="A30" s="3786"/>
      <c r="B30" s="3782"/>
      <c r="C30" s="3103" t="s">
        <v>2457</v>
      </c>
      <c r="D30" s="3104"/>
      <c r="E30" s="3105">
        <v>0.8</v>
      </c>
      <c r="F30" s="3102" t="s">
        <v>2458</v>
      </c>
      <c r="G30" s="3102"/>
    </row>
    <row r="31" spans="1:13" ht="19.5" customHeight="1">
      <c r="A31" s="3786"/>
      <c r="B31" s="3782"/>
      <c r="C31" s="3103" t="s">
        <v>2459</v>
      </c>
      <c r="D31" s="3104"/>
      <c r="E31" s="3105">
        <v>0.8</v>
      </c>
      <c r="F31" s="3102" t="s">
        <v>2460</v>
      </c>
      <c r="G31" s="3102"/>
    </row>
    <row r="32" spans="1:13" ht="19.5" customHeight="1">
      <c r="A32" s="3786"/>
      <c r="B32" s="3782"/>
      <c r="C32" s="3103" t="s">
        <v>2461</v>
      </c>
      <c r="D32" s="3104"/>
      <c r="E32" s="3105">
        <v>0.7</v>
      </c>
      <c r="F32" s="3102" t="s">
        <v>2462</v>
      </c>
      <c r="G32" s="3102"/>
    </row>
    <row r="33" spans="1:7" ht="19.5" customHeight="1">
      <c r="A33" s="3786"/>
      <c r="B33" s="3782"/>
      <c r="C33" s="3103" t="s">
        <v>2463</v>
      </c>
      <c r="D33" s="3104"/>
      <c r="E33" s="3105">
        <v>0.8</v>
      </c>
      <c r="F33" s="3102" t="s">
        <v>2464</v>
      </c>
      <c r="G33" s="3102"/>
    </row>
    <row r="34" spans="1:7" ht="19.5" customHeight="1">
      <c r="A34" s="3786"/>
      <c r="B34" s="3782"/>
      <c r="C34" s="3103" t="s">
        <v>2465</v>
      </c>
      <c r="D34" s="3104"/>
      <c r="E34" s="3105">
        <v>0.6</v>
      </c>
      <c r="F34" s="3102" t="s">
        <v>2466</v>
      </c>
      <c r="G34" s="3102"/>
    </row>
    <row r="35" spans="1:7" ht="19.5" customHeight="1">
      <c r="A35" s="3786"/>
      <c r="B35" s="3782"/>
      <c r="C35" s="3103" t="s">
        <v>2467</v>
      </c>
      <c r="D35" s="3104"/>
      <c r="E35" s="3105">
        <v>0.2</v>
      </c>
      <c r="F35" s="3102" t="s">
        <v>2468</v>
      </c>
      <c r="G35" s="3102"/>
    </row>
    <row r="36" spans="1:7" ht="19.5" customHeight="1">
      <c r="A36" s="3786"/>
      <c r="B36" s="3782"/>
      <c r="C36" s="3103" t="s">
        <v>2469</v>
      </c>
      <c r="D36" s="3104"/>
      <c r="E36" s="3105">
        <v>0.2</v>
      </c>
      <c r="F36" s="3102" t="s">
        <v>2470</v>
      </c>
      <c r="G36" s="3102"/>
    </row>
    <row r="37" spans="1:7" ht="19.5" customHeight="1">
      <c r="A37" s="3786"/>
      <c r="B37" s="3780" t="s">
        <v>2631</v>
      </c>
      <c r="C37" s="3103" t="s">
        <v>2471</v>
      </c>
      <c r="D37" s="3104"/>
      <c r="E37" s="3105">
        <v>0.6</v>
      </c>
      <c r="F37" s="3102" t="s">
        <v>2472</v>
      </c>
      <c r="G37" s="3102"/>
    </row>
    <row r="38" spans="1:7" ht="19.5" customHeight="1">
      <c r="A38" s="3786"/>
      <c r="B38" s="3782"/>
      <c r="C38" s="3103" t="s">
        <v>2473</v>
      </c>
      <c r="D38" s="3104"/>
      <c r="E38" s="3105">
        <v>0.6</v>
      </c>
      <c r="F38" s="3102" t="s">
        <v>2474</v>
      </c>
      <c r="G38" s="3102"/>
    </row>
    <row r="39" spans="1:7" ht="19.5" customHeight="1" thickBot="1">
      <c r="A39" s="3787"/>
      <c r="B39" s="3784"/>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8" t="s">
        <v>2609</v>
      </c>
      <c r="B41" s="3783" t="s">
        <v>2633</v>
      </c>
      <c r="C41" s="3099" t="s">
        <v>2478</v>
      </c>
      <c r="D41" s="3100"/>
      <c r="E41" s="3101">
        <v>1</v>
      </c>
      <c r="F41" s="3102" t="s">
        <v>2479</v>
      </c>
      <c r="G41" s="3102"/>
    </row>
    <row r="42" spans="1:7" ht="19.5" customHeight="1">
      <c r="A42" s="3789"/>
      <c r="B42" s="3782"/>
      <c r="C42" s="3103" t="s">
        <v>2480</v>
      </c>
      <c r="D42" s="3104"/>
      <c r="E42" s="3105">
        <v>1</v>
      </c>
      <c r="F42" s="3102" t="s">
        <v>2481</v>
      </c>
      <c r="G42" s="3102"/>
    </row>
    <row r="43" spans="1:7" ht="19.5" customHeight="1">
      <c r="A43" s="3789"/>
      <c r="B43" s="3781"/>
      <c r="C43" s="3103" t="s">
        <v>2482</v>
      </c>
      <c r="D43" s="3104"/>
      <c r="E43" s="3105">
        <v>1.5</v>
      </c>
      <c r="F43" s="3102" t="s">
        <v>2483</v>
      </c>
      <c r="G43" s="3102"/>
    </row>
    <row r="44" spans="1:7" ht="19.5" customHeight="1">
      <c r="A44" s="3789"/>
      <c r="B44" s="3114" t="s">
        <v>2634</v>
      </c>
      <c r="C44" s="3103" t="s">
        <v>2635</v>
      </c>
      <c r="D44" s="3104"/>
      <c r="E44" s="3105">
        <v>2</v>
      </c>
      <c r="F44" s="3102" t="s">
        <v>2484</v>
      </c>
      <c r="G44" s="3102"/>
    </row>
    <row r="45" spans="1:7" ht="19.5" customHeight="1">
      <c r="A45" s="3789"/>
      <c r="B45" s="3780" t="s">
        <v>2636</v>
      </c>
      <c r="C45" s="3103" t="s">
        <v>2485</v>
      </c>
      <c r="D45" s="3104"/>
      <c r="E45" s="3105">
        <v>1</v>
      </c>
      <c r="F45" s="3102" t="s">
        <v>2486</v>
      </c>
      <c r="G45" s="3102"/>
    </row>
    <row r="46" spans="1:7" ht="19.5" customHeight="1">
      <c r="A46" s="3789"/>
      <c r="B46" s="3782"/>
      <c r="C46" s="3103" t="s">
        <v>2487</v>
      </c>
      <c r="D46" s="3104"/>
      <c r="E46" s="3105">
        <v>1</v>
      </c>
      <c r="F46" s="3102" t="s">
        <v>2488</v>
      </c>
      <c r="G46" s="3102"/>
    </row>
    <row r="47" spans="1:7" ht="19.5" customHeight="1">
      <c r="A47" s="3789"/>
      <c r="B47" s="3782"/>
      <c r="C47" s="3103" t="s">
        <v>2489</v>
      </c>
      <c r="D47" s="3104"/>
      <c r="E47" s="3105">
        <v>1</v>
      </c>
      <c r="F47" s="3102" t="s">
        <v>2490</v>
      </c>
      <c r="G47" s="3102"/>
    </row>
    <row r="48" spans="1:7" ht="19.5" customHeight="1">
      <c r="A48" s="3789"/>
      <c r="B48" s="3782"/>
      <c r="C48" s="3103" t="s">
        <v>2491</v>
      </c>
      <c r="D48" s="3104"/>
      <c r="E48" s="3105">
        <v>1</v>
      </c>
      <c r="F48" s="3102" t="s">
        <v>2492</v>
      </c>
      <c r="G48" s="3102"/>
    </row>
    <row r="49" spans="1:7" ht="19.5" customHeight="1">
      <c r="A49" s="3789"/>
      <c r="B49" s="3782"/>
      <c r="C49" s="3103" t="s">
        <v>2493</v>
      </c>
      <c r="D49" s="3104"/>
      <c r="E49" s="3105">
        <v>1</v>
      </c>
      <c r="F49" s="3102" t="s">
        <v>2494</v>
      </c>
      <c r="G49" s="3102"/>
    </row>
    <row r="50" spans="1:7" ht="19.5" customHeight="1">
      <c r="A50" s="3789"/>
      <c r="B50" s="3782"/>
      <c r="C50" s="3103" t="s">
        <v>2495</v>
      </c>
      <c r="D50" s="3104"/>
      <c r="E50" s="3105">
        <v>1</v>
      </c>
      <c r="F50" s="3102" t="s">
        <v>2496</v>
      </c>
      <c r="G50" s="3102"/>
    </row>
    <row r="51" spans="1:7" ht="19.5" customHeight="1" thickBot="1">
      <c r="A51" s="3790"/>
      <c r="B51" s="3784"/>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80" t="s">
        <v>2650</v>
      </c>
      <c r="C73" s="3088" t="s">
        <v>2651</v>
      </c>
      <c r="D73" s="3088" t="s">
        <v>2652</v>
      </c>
      <c r="E73" s="3114">
        <v>0.2</v>
      </c>
      <c r="F73" s="3114">
        <v>25</v>
      </c>
    </row>
    <row r="74" spans="1:7" ht="24">
      <c r="A74" s="3114">
        <v>2</v>
      </c>
      <c r="B74" s="3782"/>
      <c r="C74" s="3088" t="s">
        <v>2653</v>
      </c>
      <c r="D74" s="3088" t="s">
        <v>2654</v>
      </c>
      <c r="E74" s="3114">
        <v>0.2</v>
      </c>
      <c r="F74" s="3114">
        <v>25</v>
      </c>
    </row>
    <row r="75" spans="1:7" ht="24">
      <c r="A75" s="3114">
        <v>3</v>
      </c>
      <c r="B75" s="3782"/>
      <c r="C75" s="3088" t="s">
        <v>2655</v>
      </c>
      <c r="D75" s="3088" t="s">
        <v>2656</v>
      </c>
      <c r="E75" s="3114">
        <v>0.2</v>
      </c>
      <c r="F75" s="3114">
        <v>25</v>
      </c>
    </row>
    <row r="76" spans="1:7" ht="13.5">
      <c r="A76" s="3114">
        <v>4</v>
      </c>
      <c r="B76" s="3782"/>
      <c r="C76" s="3088" t="s">
        <v>2657</v>
      </c>
      <c r="D76" s="3088" t="s">
        <v>2658</v>
      </c>
      <c r="E76" s="3114">
        <v>0.15</v>
      </c>
      <c r="F76" s="3114">
        <v>20</v>
      </c>
    </row>
    <row r="77" spans="1:7" ht="24">
      <c r="A77" s="3114">
        <v>5</v>
      </c>
      <c r="B77" s="3782"/>
      <c r="C77" s="3088" t="s">
        <v>2659</v>
      </c>
      <c r="D77" s="3088" t="s">
        <v>2660</v>
      </c>
      <c r="E77" s="3114">
        <v>0.15</v>
      </c>
      <c r="F77" s="3114">
        <v>20</v>
      </c>
    </row>
    <row r="78" spans="1:7" ht="24">
      <c r="A78" s="3114">
        <v>6</v>
      </c>
      <c r="B78" s="3782"/>
      <c r="C78" s="3088" t="s">
        <v>2661</v>
      </c>
      <c r="D78" s="3088" t="s">
        <v>2662</v>
      </c>
      <c r="E78" s="3114">
        <v>0.15</v>
      </c>
      <c r="F78" s="3114">
        <v>20</v>
      </c>
    </row>
    <row r="79" spans="1:7" ht="24">
      <c r="A79" s="3114">
        <v>7</v>
      </c>
      <c r="B79" s="3782"/>
      <c r="C79" s="3088" t="s">
        <v>2663</v>
      </c>
      <c r="D79" s="3088" t="s">
        <v>2664</v>
      </c>
      <c r="E79" s="3114">
        <v>0.15</v>
      </c>
      <c r="F79" s="3114">
        <v>20</v>
      </c>
    </row>
    <row r="80" spans="1:7" ht="24">
      <c r="A80" s="3114">
        <v>8</v>
      </c>
      <c r="B80" s="3782"/>
      <c r="C80" s="3088" t="s">
        <v>2665</v>
      </c>
      <c r="D80" s="3088" t="s">
        <v>2666</v>
      </c>
      <c r="E80" s="3114">
        <v>0.1</v>
      </c>
      <c r="F80" s="3114">
        <v>15</v>
      </c>
    </row>
    <row r="81" spans="1:6" ht="24">
      <c r="A81" s="3114">
        <v>9</v>
      </c>
      <c r="B81" s="3782"/>
      <c r="C81" s="3088" t="s">
        <v>2667</v>
      </c>
      <c r="D81" s="3088" t="s">
        <v>2668</v>
      </c>
      <c r="E81" s="3114">
        <v>0.1</v>
      </c>
      <c r="F81" s="3114">
        <v>15</v>
      </c>
    </row>
    <row r="82" spans="1:6" ht="24">
      <c r="A82" s="3114">
        <v>10</v>
      </c>
      <c r="B82" s="3782"/>
      <c r="C82" s="3088" t="s">
        <v>2669</v>
      </c>
      <c r="D82" s="3088" t="s">
        <v>2670</v>
      </c>
      <c r="E82" s="3114">
        <v>0.1</v>
      </c>
      <c r="F82" s="3114">
        <v>15</v>
      </c>
    </row>
    <row r="83" spans="1:6" ht="24">
      <c r="A83" s="3114">
        <v>11</v>
      </c>
      <c r="B83" s="3782"/>
      <c r="C83" s="3088" t="s">
        <v>2671</v>
      </c>
      <c r="D83" s="3088" t="s">
        <v>2672</v>
      </c>
      <c r="E83" s="3114">
        <v>0.1</v>
      </c>
      <c r="F83" s="3114">
        <v>15</v>
      </c>
    </row>
    <row r="84" spans="1:6" ht="24">
      <c r="A84" s="3114">
        <v>12</v>
      </c>
      <c r="B84" s="3782"/>
      <c r="C84" s="3088" t="s">
        <v>2673</v>
      </c>
      <c r="D84" s="3088" t="s">
        <v>2674</v>
      </c>
      <c r="E84" s="3114">
        <v>0.1</v>
      </c>
      <c r="F84" s="3114">
        <v>15</v>
      </c>
    </row>
    <row r="85" spans="1:6" ht="13.5">
      <c r="A85" s="3114">
        <v>13</v>
      </c>
      <c r="B85" s="3782"/>
      <c r="C85" s="3088" t="s">
        <v>2675</v>
      </c>
      <c r="D85" s="3088" t="s">
        <v>2676</v>
      </c>
      <c r="E85" s="3114">
        <v>0.1</v>
      </c>
      <c r="F85" s="3114">
        <v>15</v>
      </c>
    </row>
    <row r="86" spans="1:6" ht="13.5">
      <c r="A86" s="3114">
        <v>14</v>
      </c>
      <c r="B86" s="3782"/>
      <c r="C86" s="3088" t="s">
        <v>2677</v>
      </c>
      <c r="D86" s="3088" t="s">
        <v>2678</v>
      </c>
      <c r="E86" s="3114">
        <v>0.1</v>
      </c>
      <c r="F86" s="3114">
        <v>15</v>
      </c>
    </row>
    <row r="87" spans="1:6" ht="13.5">
      <c r="A87" s="3114">
        <v>15</v>
      </c>
      <c r="B87" s="3782"/>
      <c r="C87" s="3088" t="s">
        <v>2679</v>
      </c>
      <c r="D87" s="3088" t="s">
        <v>2680</v>
      </c>
      <c r="E87" s="3114">
        <v>0.1</v>
      </c>
      <c r="F87" s="3114">
        <v>15</v>
      </c>
    </row>
    <row r="88" spans="1:6" ht="24">
      <c r="A88" s="3114">
        <v>16</v>
      </c>
      <c r="B88" s="3782"/>
      <c r="C88" s="3088" t="s">
        <v>2681</v>
      </c>
      <c r="D88" s="3088" t="s">
        <v>2682</v>
      </c>
      <c r="E88" s="3114">
        <v>0.1</v>
      </c>
      <c r="F88" s="3114">
        <v>15</v>
      </c>
    </row>
    <row r="89" spans="1:6" ht="24">
      <c r="A89" s="3114">
        <v>17</v>
      </c>
      <c r="B89" s="3781"/>
      <c r="C89" s="3088" t="s">
        <v>2683</v>
      </c>
      <c r="D89" s="3088" t="s">
        <v>2684</v>
      </c>
      <c r="E89" s="3114">
        <v>0.1</v>
      </c>
      <c r="F89" s="3114">
        <v>15</v>
      </c>
    </row>
    <row r="90" spans="1:6" ht="13.5">
      <c r="A90" s="3114">
        <v>18</v>
      </c>
      <c r="B90" s="3780" t="s">
        <v>2685</v>
      </c>
      <c r="C90" s="3088" t="s">
        <v>2686</v>
      </c>
      <c r="D90" s="3088" t="s">
        <v>2687</v>
      </c>
      <c r="E90" s="3114">
        <v>0.2</v>
      </c>
      <c r="F90" s="3114">
        <v>25</v>
      </c>
    </row>
    <row r="91" spans="1:6" ht="24">
      <c r="A91" s="3114">
        <v>19</v>
      </c>
      <c r="B91" s="3782"/>
      <c r="C91" s="3088" t="s">
        <v>2688</v>
      </c>
      <c r="D91" s="3088" t="s">
        <v>2689</v>
      </c>
      <c r="E91" s="3114">
        <v>0.2</v>
      </c>
      <c r="F91" s="3114">
        <v>25</v>
      </c>
    </row>
    <row r="92" spans="1:6" ht="13.5">
      <c r="A92" s="3114">
        <v>20</v>
      </c>
      <c r="B92" s="3782"/>
      <c r="C92" s="3088" t="s">
        <v>2690</v>
      </c>
      <c r="D92" s="3088" t="s">
        <v>2691</v>
      </c>
      <c r="E92" s="3114">
        <v>0.15</v>
      </c>
      <c r="F92" s="3114">
        <v>20</v>
      </c>
    </row>
    <row r="93" spans="1:6" ht="13.5">
      <c r="A93" s="3114">
        <v>21</v>
      </c>
      <c r="B93" s="3782"/>
      <c r="C93" s="3088" t="s">
        <v>2692</v>
      </c>
      <c r="D93" s="3088" t="s">
        <v>2693</v>
      </c>
      <c r="E93" s="3114">
        <v>0.15</v>
      </c>
      <c r="F93" s="3114">
        <v>20</v>
      </c>
    </row>
    <row r="94" spans="1:6" ht="13.5">
      <c r="A94" s="3114">
        <v>22</v>
      </c>
      <c r="B94" s="3782"/>
      <c r="C94" s="3088" t="s">
        <v>2694</v>
      </c>
      <c r="D94" s="3088" t="s">
        <v>2695</v>
      </c>
      <c r="E94" s="3114">
        <v>0.15</v>
      </c>
      <c r="F94" s="3114">
        <v>20</v>
      </c>
    </row>
    <row r="95" spans="1:6" ht="36">
      <c r="A95" s="3114">
        <v>23</v>
      </c>
      <c r="B95" s="3782"/>
      <c r="C95" s="3088" t="s">
        <v>2696</v>
      </c>
      <c r="D95" s="3088" t="s">
        <v>2697</v>
      </c>
      <c r="E95" s="3114">
        <v>0.15</v>
      </c>
      <c r="F95" s="3114">
        <v>20</v>
      </c>
    </row>
    <row r="96" spans="1:6" ht="13.5">
      <c r="A96" s="3114">
        <v>24</v>
      </c>
      <c r="B96" s="3782"/>
      <c r="C96" s="3088" t="s">
        <v>2698</v>
      </c>
      <c r="D96" s="3088" t="s">
        <v>2699</v>
      </c>
      <c r="E96" s="3114">
        <v>0.1</v>
      </c>
      <c r="F96" s="3114">
        <v>15</v>
      </c>
    </row>
    <row r="97" spans="1:6" ht="13.5">
      <c r="A97" s="3114">
        <v>25</v>
      </c>
      <c r="B97" s="3782"/>
      <c r="C97" s="3088" t="s">
        <v>2700</v>
      </c>
      <c r="D97" s="3088" t="s">
        <v>2701</v>
      </c>
      <c r="E97" s="3114">
        <v>0.1</v>
      </c>
      <c r="F97" s="3114">
        <v>15</v>
      </c>
    </row>
    <row r="98" spans="1:6" ht="24">
      <c r="A98" s="3114">
        <v>26</v>
      </c>
      <c r="B98" s="3782"/>
      <c r="C98" s="3088" t="s">
        <v>2702</v>
      </c>
      <c r="D98" s="3088" t="s">
        <v>2703</v>
      </c>
      <c r="E98" s="3114">
        <v>0.1</v>
      </c>
      <c r="F98" s="3114">
        <v>15</v>
      </c>
    </row>
    <row r="99" spans="1:6" ht="24">
      <c r="A99" s="3114">
        <v>27</v>
      </c>
      <c r="B99" s="3782"/>
      <c r="C99" s="3088" t="s">
        <v>2704</v>
      </c>
      <c r="D99" s="3088" t="s">
        <v>2705</v>
      </c>
      <c r="E99" s="3114">
        <v>0.1</v>
      </c>
      <c r="F99" s="3114">
        <v>15</v>
      </c>
    </row>
    <row r="100" spans="1:6" ht="13.5">
      <c r="A100" s="3114">
        <v>28</v>
      </c>
      <c r="B100" s="3782"/>
      <c r="C100" s="3088" t="s">
        <v>2706</v>
      </c>
      <c r="D100" s="3088" t="s">
        <v>2707</v>
      </c>
      <c r="E100" s="3114">
        <v>0.1</v>
      </c>
      <c r="F100" s="3114">
        <v>15</v>
      </c>
    </row>
    <row r="101" spans="1:6" ht="13.5">
      <c r="A101" s="3114">
        <v>29</v>
      </c>
      <c r="B101" s="3782"/>
      <c r="C101" s="3088" t="s">
        <v>2708</v>
      </c>
      <c r="D101" s="3088" t="s">
        <v>2709</v>
      </c>
      <c r="E101" s="3114">
        <v>0.1</v>
      </c>
      <c r="F101" s="3114">
        <v>15</v>
      </c>
    </row>
    <row r="102" spans="1:6" ht="13.5">
      <c r="A102" s="3114">
        <v>30</v>
      </c>
      <c r="B102" s="3782"/>
      <c r="C102" s="3088" t="s">
        <v>2710</v>
      </c>
      <c r="D102" s="3088" t="s">
        <v>2711</v>
      </c>
      <c r="E102" s="3114">
        <v>0.1</v>
      </c>
      <c r="F102" s="3114">
        <v>15</v>
      </c>
    </row>
    <row r="103" spans="1:6" ht="24">
      <c r="A103" s="3114">
        <v>31</v>
      </c>
      <c r="B103" s="3782"/>
      <c r="C103" s="3088" t="s">
        <v>2712</v>
      </c>
      <c r="D103" s="3088" t="s">
        <v>2713</v>
      </c>
      <c r="E103" s="3114">
        <v>0.1</v>
      </c>
      <c r="F103" s="3114">
        <v>15</v>
      </c>
    </row>
    <row r="104" spans="1:6" ht="24">
      <c r="A104" s="3114">
        <v>32</v>
      </c>
      <c r="B104" s="3782"/>
      <c r="C104" s="3088" t="s">
        <v>2714</v>
      </c>
      <c r="D104" s="3088" t="s">
        <v>2715</v>
      </c>
      <c r="E104" s="3114">
        <v>0.1</v>
      </c>
      <c r="F104" s="3114">
        <v>15</v>
      </c>
    </row>
    <row r="105" spans="1:6" ht="24">
      <c r="A105" s="3114">
        <v>33</v>
      </c>
      <c r="B105" s="3782"/>
      <c r="C105" s="3088" t="s">
        <v>2716</v>
      </c>
      <c r="D105" s="3088" t="s">
        <v>2717</v>
      </c>
      <c r="E105" s="3114">
        <v>0.1</v>
      </c>
      <c r="F105" s="3114">
        <v>15</v>
      </c>
    </row>
    <row r="106" spans="1:6" ht="24">
      <c r="A106" s="3114">
        <v>34</v>
      </c>
      <c r="B106" s="3781"/>
      <c r="C106" s="3088" t="s">
        <v>2718</v>
      </c>
      <c r="D106" s="3088" t="s">
        <v>2719</v>
      </c>
      <c r="E106" s="3114">
        <v>0.1</v>
      </c>
      <c r="F106" s="3114">
        <v>15</v>
      </c>
    </row>
    <row r="107" spans="1:6" ht="24">
      <c r="A107" s="3114">
        <v>35</v>
      </c>
      <c r="B107" s="3780" t="s">
        <v>2720</v>
      </c>
      <c r="C107" s="3114" t="s">
        <v>2721</v>
      </c>
      <c r="D107" s="3088" t="s">
        <v>2722</v>
      </c>
      <c r="E107" s="3114">
        <v>0.15</v>
      </c>
      <c r="F107" s="3114">
        <v>20</v>
      </c>
    </row>
    <row r="108" spans="1:6" ht="13.5">
      <c r="A108" s="3114">
        <v>36</v>
      </c>
      <c r="B108" s="3782"/>
      <c r="C108" s="3114" t="s">
        <v>2723</v>
      </c>
      <c r="D108" s="3088" t="s">
        <v>2724</v>
      </c>
      <c r="E108" s="3114">
        <v>0.15</v>
      </c>
      <c r="F108" s="3114">
        <v>20</v>
      </c>
    </row>
    <row r="109" spans="1:6" ht="13.5">
      <c r="A109" s="3114">
        <v>37</v>
      </c>
      <c r="B109" s="3782"/>
      <c r="C109" s="3114" t="s">
        <v>2725</v>
      </c>
      <c r="D109" s="3088" t="s">
        <v>2726</v>
      </c>
      <c r="E109" s="3114">
        <v>0.15</v>
      </c>
      <c r="F109" s="3114">
        <v>20</v>
      </c>
    </row>
    <row r="110" spans="1:6" ht="13.5">
      <c r="A110" s="3114">
        <v>38</v>
      </c>
      <c r="B110" s="3782"/>
      <c r="C110" s="3114" t="s">
        <v>2727</v>
      </c>
      <c r="D110" s="3088" t="s">
        <v>2728</v>
      </c>
      <c r="E110" s="3114">
        <v>0.1</v>
      </c>
      <c r="F110" s="3114">
        <v>15</v>
      </c>
    </row>
    <row r="111" spans="1:6" ht="24">
      <c r="A111" s="3114">
        <v>39</v>
      </c>
      <c r="B111" s="3782"/>
      <c r="C111" s="3114" t="s">
        <v>2729</v>
      </c>
      <c r="D111" s="3088" t="s">
        <v>2730</v>
      </c>
      <c r="E111" s="3114">
        <v>0.1</v>
      </c>
      <c r="F111" s="3114">
        <v>15</v>
      </c>
    </row>
    <row r="112" spans="1:6" ht="24">
      <c r="A112" s="3114">
        <v>40</v>
      </c>
      <c r="B112" s="3781"/>
      <c r="C112" s="3114" t="s">
        <v>2731</v>
      </c>
      <c r="D112" s="3088" t="s">
        <v>2732</v>
      </c>
      <c r="E112" s="3114">
        <v>0.1</v>
      </c>
      <c r="F112" s="3114">
        <v>15</v>
      </c>
    </row>
    <row r="113" spans="1:6" ht="13.5">
      <c r="A113" s="3114">
        <v>41</v>
      </c>
      <c r="B113" s="3779" t="s">
        <v>2733</v>
      </c>
      <c r="C113" s="3114" t="s">
        <v>2734</v>
      </c>
      <c r="D113" s="3088" t="s">
        <v>2735</v>
      </c>
      <c r="E113" s="3114">
        <v>0.1</v>
      </c>
      <c r="F113" s="3114">
        <v>15</v>
      </c>
    </row>
    <row r="114" spans="1:6" ht="13.5">
      <c r="A114" s="3114">
        <v>42</v>
      </c>
      <c r="B114" s="3779"/>
      <c r="C114" s="3114" t="s">
        <v>2736</v>
      </c>
      <c r="D114" s="3088" t="s">
        <v>2737</v>
      </c>
      <c r="E114" s="3114">
        <v>0.1</v>
      </c>
      <c r="F114" s="3114">
        <v>15</v>
      </c>
    </row>
    <row r="115" spans="1:6" ht="24">
      <c r="A115" s="3114">
        <v>43</v>
      </c>
      <c r="B115" s="3779"/>
      <c r="C115" s="3114" t="s">
        <v>2738</v>
      </c>
      <c r="D115" s="3088" t="s">
        <v>2739</v>
      </c>
      <c r="E115" s="3114">
        <v>0.1</v>
      </c>
      <c r="F115" s="3114">
        <v>15</v>
      </c>
    </row>
    <row r="116" spans="1:6" ht="13.5">
      <c r="A116" s="3114">
        <v>44</v>
      </c>
      <c r="B116" s="3780" t="s">
        <v>2740</v>
      </c>
      <c r="C116" s="3114" t="s">
        <v>2741</v>
      </c>
      <c r="D116" s="3088" t="s">
        <v>2742</v>
      </c>
      <c r="E116" s="3114">
        <v>0.1</v>
      </c>
      <c r="F116" s="3114">
        <v>15</v>
      </c>
    </row>
    <row r="117" spans="1:6" ht="24">
      <c r="A117" s="3114">
        <v>45</v>
      </c>
      <c r="B117" s="3781"/>
      <c r="C117" s="3088" t="s">
        <v>2743</v>
      </c>
      <c r="D117" s="3088" t="s">
        <v>2744</v>
      </c>
      <c r="E117" s="3114">
        <v>0.1</v>
      </c>
      <c r="F117" s="3114">
        <v>15</v>
      </c>
    </row>
    <row r="118" spans="1:6" ht="24">
      <c r="A118" s="3114">
        <v>46</v>
      </c>
      <c r="B118" s="3780" t="s">
        <v>2745</v>
      </c>
      <c r="C118" s="3114" t="s">
        <v>2746</v>
      </c>
      <c r="D118" s="3088" t="s">
        <v>2747</v>
      </c>
      <c r="E118" s="3114">
        <v>0.1</v>
      </c>
      <c r="F118" s="3114">
        <v>15</v>
      </c>
    </row>
    <row r="119" spans="1:6" ht="24">
      <c r="A119" s="3114">
        <v>47</v>
      </c>
      <c r="B119" s="3781"/>
      <c r="C119" s="3114" t="s">
        <v>2748</v>
      </c>
      <c r="D119" s="3088" t="s">
        <v>2749</v>
      </c>
      <c r="E119" s="3114">
        <v>0.1</v>
      </c>
      <c r="F119" s="3114">
        <v>15</v>
      </c>
    </row>
    <row r="120" spans="1:6" ht="13.5">
      <c r="A120" s="3114">
        <v>48</v>
      </c>
      <c r="B120" s="3780" t="s">
        <v>2750</v>
      </c>
      <c r="C120" s="3114" t="s">
        <v>2751</v>
      </c>
      <c r="D120" s="3088" t="s">
        <v>2752</v>
      </c>
      <c r="E120" s="3114">
        <v>0.1</v>
      </c>
      <c r="F120" s="3114">
        <v>15</v>
      </c>
    </row>
    <row r="121" spans="1:6" ht="13.5">
      <c r="A121" s="3114">
        <v>49</v>
      </c>
      <c r="B121" s="3781"/>
      <c r="C121" s="3114" t="s">
        <v>2753</v>
      </c>
      <c r="D121" s="3088" t="s">
        <v>2754</v>
      </c>
      <c r="E121" s="3114">
        <v>0.1</v>
      </c>
      <c r="F121" s="3114">
        <v>15</v>
      </c>
    </row>
    <row r="122" spans="1:6" ht="24">
      <c r="A122" s="3114">
        <v>50</v>
      </c>
      <c r="B122" s="3779" t="s">
        <v>2755</v>
      </c>
      <c r="C122" s="3114" t="s">
        <v>2756</v>
      </c>
      <c r="D122" s="3088" t="s">
        <v>2757</v>
      </c>
      <c r="E122" s="3114">
        <v>0.1</v>
      </c>
      <c r="F122" s="3114">
        <v>15</v>
      </c>
    </row>
    <row r="123" spans="1:6" ht="24">
      <c r="A123" s="3114">
        <v>51</v>
      </c>
      <c r="B123" s="3779"/>
      <c r="C123" s="3114" t="s">
        <v>2758</v>
      </c>
      <c r="D123" s="3088" t="s">
        <v>2759</v>
      </c>
      <c r="E123" s="3114">
        <v>0.1</v>
      </c>
      <c r="F123" s="3114">
        <v>15</v>
      </c>
    </row>
    <row r="124" spans="1:6" ht="24">
      <c r="A124" s="3114">
        <v>52</v>
      </c>
      <c r="B124" s="3779" t="s">
        <v>2760</v>
      </c>
      <c r="C124" s="3114" t="s">
        <v>2761</v>
      </c>
      <c r="D124" s="3088" t="s">
        <v>2762</v>
      </c>
      <c r="E124" s="3114">
        <v>0.1</v>
      </c>
      <c r="F124" s="3114">
        <v>15</v>
      </c>
    </row>
    <row r="125" spans="1:6" ht="24">
      <c r="A125" s="3114">
        <v>53</v>
      </c>
      <c r="B125" s="3779"/>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79" t="s">
        <v>2768</v>
      </c>
      <c r="C127" s="3114" t="s">
        <v>2769</v>
      </c>
      <c r="D127" s="3088" t="s">
        <v>2770</v>
      </c>
      <c r="E127" s="3114">
        <v>0.1</v>
      </c>
      <c r="F127" s="3114">
        <v>15</v>
      </c>
    </row>
    <row r="128" spans="1:6" ht="13.5">
      <c r="A128" s="3114">
        <v>56</v>
      </c>
      <c r="B128" s="3779"/>
      <c r="C128" s="3114" t="s">
        <v>2771</v>
      </c>
      <c r="D128" s="3088" t="s">
        <v>2772</v>
      </c>
      <c r="E128" s="3114">
        <v>0.1</v>
      </c>
      <c r="F128" s="3114">
        <v>15</v>
      </c>
    </row>
    <row r="129" spans="1:6" ht="24">
      <c r="A129" s="3114">
        <v>57</v>
      </c>
      <c r="B129" s="3779"/>
      <c r="C129" s="3114" t="s">
        <v>2773</v>
      </c>
      <c r="D129" s="3088" t="s">
        <v>2774</v>
      </c>
      <c r="E129" s="3114">
        <v>0.1</v>
      </c>
      <c r="F129" s="3114">
        <v>15</v>
      </c>
    </row>
    <row r="130" spans="1:6" ht="24">
      <c r="A130" s="3114">
        <v>58</v>
      </c>
      <c r="B130" s="3779" t="s">
        <v>2775</v>
      </c>
      <c r="C130" s="3114" t="s">
        <v>2776</v>
      </c>
      <c r="D130" s="3088" t="s">
        <v>2777</v>
      </c>
      <c r="E130" s="3114">
        <v>0.1</v>
      </c>
      <c r="F130" s="3114">
        <v>15</v>
      </c>
    </row>
    <row r="131" spans="1:6" ht="13.5">
      <c r="A131" s="3114">
        <v>59</v>
      </c>
      <c r="B131" s="3779"/>
      <c r="C131" s="3114" t="s">
        <v>2778</v>
      </c>
      <c r="D131" s="3088" t="s">
        <v>2779</v>
      </c>
      <c r="E131" s="3114">
        <v>0.1</v>
      </c>
      <c r="F131" s="3114">
        <v>15</v>
      </c>
    </row>
    <row r="132" spans="1:6" ht="13.5">
      <c r="A132" s="3114">
        <v>60</v>
      </c>
      <c r="B132" s="3780" t="s">
        <v>2780</v>
      </c>
      <c r="C132" s="3114" t="s">
        <v>2781</v>
      </c>
      <c r="D132" s="3088" t="s">
        <v>2782</v>
      </c>
      <c r="E132" s="3114">
        <v>0.1</v>
      </c>
      <c r="F132" s="3114">
        <v>15</v>
      </c>
    </row>
    <row r="133" spans="1:6" ht="13.5">
      <c r="A133" s="3114">
        <v>61</v>
      </c>
      <c r="B133" s="3781"/>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79" t="s">
        <v>2788</v>
      </c>
      <c r="C135" s="3114" t="s">
        <v>2789</v>
      </c>
      <c r="D135" s="3088" t="s">
        <v>2790</v>
      </c>
      <c r="E135" s="3114">
        <v>0.1</v>
      </c>
      <c r="F135" s="3114">
        <v>15</v>
      </c>
    </row>
    <row r="136" spans="1:6" ht="13.5">
      <c r="A136" s="3114">
        <v>64</v>
      </c>
      <c r="B136" s="3779"/>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3.5"/>
  <cols>
    <col min="1" max="13" width="9" style="3137"/>
    <col min="14" max="16384" width="9" style="749"/>
  </cols>
  <sheetData>
    <row r="1" spans="1:20" ht="15"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356</v>
      </c>
      <c r="E5" s="1490"/>
    </row>
    <row r="6" spans="1:5" ht="15.75">
      <c r="A6" s="1490"/>
      <c r="B6" s="3471"/>
      <c r="C6" s="1493" t="s">
        <v>911</v>
      </c>
      <c r="D6" s="849" t="str">
        <f ca="1">NUMBERSTRING(INT(D5*10000),2)&amp;"元整"</f>
        <v>叁佰伍拾陆万元整</v>
      </c>
      <c r="E6" s="1490"/>
    </row>
    <row r="7" spans="1:5" ht="15.75">
      <c r="A7" s="1490"/>
      <c r="B7" s="3476"/>
      <c r="C7" s="1494" t="s">
        <v>912</v>
      </c>
      <c r="D7" s="850">
        <f ca="1">结果表!H102</f>
        <v>27166</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356</v>
      </c>
      <c r="E13" s="1490"/>
    </row>
    <row r="14" spans="1:5" ht="15.75">
      <c r="A14" s="1490"/>
      <c r="B14" s="3471"/>
      <c r="C14" s="1493" t="s">
        <v>911</v>
      </c>
      <c r="D14" s="849" t="str">
        <f ca="1">NUMBERSTRING(INT(D13*10000),2)&amp;"元整"</f>
        <v>叁佰伍拾陆万元整</v>
      </c>
      <c r="E14" s="1490"/>
    </row>
    <row r="15" spans="1:5" ht="15">
      <c r="A15" s="1490"/>
      <c r="B15" s="3476"/>
      <c r="C15" s="1494" t="s">
        <v>921</v>
      </c>
      <c r="D15" s="858">
        <f ca="1">结果表!H108</f>
        <v>27166</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27832</v>
      </c>
      <c r="C2" s="2" t="s">
        <v>106</v>
      </c>
      <c r="D2" s="198"/>
      <c r="E2" s="198"/>
      <c r="F2" s="198"/>
      <c r="G2" s="198"/>
    </row>
    <row r="3" spans="1:7" s="199" customFormat="1" ht="18" customHeight="1" thickBot="1">
      <c r="A3" s="202" t="s">
        <v>58</v>
      </c>
      <c r="B3" s="203">
        <f ca="1">ROUND(B2*10000/'数据-汇总表'!E3,0)</f>
        <v>2124256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v>
      </c>
      <c r="D10" s="844">
        <f>'数据-汇总表'!E6</f>
        <v>131.02000000000001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131.02000000000001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27780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52</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131.02000000000001</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52" t="s">
        <v>94</v>
      </c>
    </row>
    <row r="43" spans="1:7" ht="13.5" customHeight="1">
      <c r="A43" s="779" t="s">
        <v>347</v>
      </c>
      <c r="B43" s="214" t="s">
        <v>426</v>
      </c>
      <c r="C43" s="237">
        <f ca="1">ROUND(IF('数据-取费表'!B22&lt;=1,C39*F22*'数据-取费表'!B21/2,C39*(POWER((1+F22),'数据-取费表'!B21/2)-1)),0)</f>
        <v>0</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76</v>
      </c>
      <c r="D49" s="231"/>
      <c r="E49" s="231"/>
      <c r="F49" s="263"/>
      <c r="G49" s="233" t="s">
        <v>435</v>
      </c>
    </row>
    <row r="50" spans="1:7" s="257" customFormat="1" ht="24">
      <c r="A50" s="776" t="s">
        <v>344</v>
      </c>
      <c r="B50" s="209" t="s">
        <v>97</v>
      </c>
      <c r="C50" s="231"/>
      <c r="D50" s="231"/>
      <c r="E50" s="231"/>
      <c r="F50" s="263">
        <f>IF('数据-取费表'!B24=0,'数据-取费表'!N16,1)</f>
        <v>0.68</v>
      </c>
      <c r="G50" s="246" t="s">
        <v>98</v>
      </c>
    </row>
    <row r="51" spans="1:7" ht="16.5" customHeight="1">
      <c r="A51" s="776" t="s">
        <v>345</v>
      </c>
      <c r="B51" s="209" t="s">
        <v>105</v>
      </c>
      <c r="C51" s="231">
        <f ca="1">ROUND(C49*F50,0)</f>
        <v>52</v>
      </c>
      <c r="D51" s="231"/>
      <c r="E51" s="231"/>
      <c r="F51" s="263"/>
      <c r="G51" s="233" t="s">
        <v>37</v>
      </c>
    </row>
    <row r="52" spans="1:7" s="207" customFormat="1" ht="16.5" thickBot="1">
      <c r="A52" s="264" t="s">
        <v>38</v>
      </c>
      <c r="B52" s="265"/>
      <c r="C52" s="266">
        <f ca="1">C31+C51</f>
        <v>27832</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3" t="s">
        <v>2838</v>
      </c>
      <c r="B1" s="3793"/>
      <c r="C1" s="3793"/>
      <c r="D1" s="3793"/>
      <c r="E1" s="3793"/>
      <c r="F1" s="3793"/>
      <c r="G1" s="379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9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9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5" t="s">
        <v>3180</v>
      </c>
      <c r="B1" s="379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6" t="s">
        <v>3231</v>
      </c>
      <c r="B1" s="3796"/>
      <c r="C1" s="3796"/>
      <c r="D1" s="3796"/>
      <c r="E1" s="3796"/>
      <c r="F1" s="3797"/>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45407</v>
      </c>
      <c r="B1" s="3206" t="s">
        <v>3370</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3373</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4" t="s">
        <v>3374</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3376</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3377</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3369</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3368</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3367</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3363</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3354</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3365</v>
      </c>
    </row>
    <row r="21" spans="1:30" s="3005" customFormat="1">
      <c r="I21" s="3204" t="s">
        <v>2824</v>
      </c>
    </row>
    <row r="22" spans="1:30" s="3005" customFormat="1"/>
    <row r="23" spans="1:30" s="3205" customFormat="1" ht="12.75">
      <c r="B23" s="3206" t="s">
        <v>3371</v>
      </c>
      <c r="C23" s="3207"/>
      <c r="D23" s="3207"/>
      <c r="E23" s="3207"/>
      <c r="F23" s="3207"/>
      <c r="G23" s="3207"/>
      <c r="H23" s="3207"/>
      <c r="I23" s="3207"/>
      <c r="J23" s="3161"/>
      <c r="K23" s="3207" t="s">
        <v>2825</v>
      </c>
      <c r="L23" s="3207"/>
      <c r="M23" s="3207"/>
      <c r="N23" s="3207"/>
      <c r="O23" s="3207"/>
      <c r="P23" s="3207"/>
      <c r="Q23" s="3161"/>
      <c r="R23" s="3798" t="s">
        <v>2826</v>
      </c>
      <c r="S23" s="3799"/>
      <c r="T23" s="3799"/>
      <c r="U23" s="3799"/>
      <c r="V23" s="3799"/>
      <c r="W23" s="3799"/>
      <c r="X23" s="3161"/>
      <c r="Y23" s="3798" t="s">
        <v>2827</v>
      </c>
      <c r="Z23" s="3799"/>
      <c r="AA23" s="3799"/>
      <c r="AB23" s="3799"/>
      <c r="AC23" s="3799"/>
      <c r="AD23" s="379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4" t="s">
        <v>3373</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4" t="s">
        <v>3374</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3378</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3377</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3372</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3368</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3367</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3364</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3354</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45407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2308</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30">
      <c r="A4" s="1504" t="str">
        <f>项目基本情况!S2</f>
        <v>北京市东城区灯市口大街33号4层425房地产</v>
      </c>
      <c r="B4" s="853">
        <f>项目基本情况!C17</f>
        <v>131.02000000000001</v>
      </c>
      <c r="C4" s="853">
        <f>项目基本情况!C18</f>
        <v>12.1</v>
      </c>
      <c r="D4" s="853">
        <f>结果表!D118</f>
        <v>0</v>
      </c>
      <c r="E4" s="853">
        <f>结果表!E118</f>
        <v>0</v>
      </c>
      <c r="F4" s="853">
        <f>结果表!F118</f>
        <v>0</v>
      </c>
      <c r="G4" s="853">
        <f>结果表!G118</f>
        <v>0</v>
      </c>
      <c r="H4" s="853">
        <f ca="1">结果表!H118</f>
        <v>356</v>
      </c>
      <c r="I4" s="853">
        <f ca="1">结果表!I118</f>
        <v>27166</v>
      </c>
    </row>
    <row r="5" spans="1:9" ht="30" customHeight="1">
      <c r="A5" s="3483" t="s">
        <v>927</v>
      </c>
      <c r="B5" s="3483"/>
      <c r="C5" s="3483"/>
      <c r="D5" s="3483" t="str">
        <f>结果表!D119</f>
        <v>零元整</v>
      </c>
      <c r="E5" s="3483"/>
      <c r="F5" s="3483" t="str">
        <f>结果表!F119</f>
        <v>零元整</v>
      </c>
      <c r="G5" s="3483"/>
      <c r="H5" s="3483" t="str">
        <f ca="1">结果表!H119</f>
        <v>叁佰伍拾陆万元整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356</v>
      </c>
      <c r="E8" s="3482"/>
      <c r="F8" s="3482"/>
      <c r="G8" s="3482"/>
      <c r="H8" s="3482"/>
      <c r="I8" s="3482"/>
    </row>
    <row r="9" spans="1:9" ht="15">
      <c r="A9" s="3483" t="s">
        <v>927</v>
      </c>
      <c r="B9" s="3483"/>
      <c r="C9" s="3483"/>
      <c r="D9" s="3483" t="str">
        <f ca="1">结果表!D123</f>
        <v>叁佰伍拾陆万元整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45407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2024-04-25T06:25:09Z</dcterms:modified>
</cp:coreProperties>
</file>