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0" activeTab="4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工业" sheetId="37" state="hidden" r:id="rId29"/>
    <sheet name="比较法-联排" sheetId="79" state="hidden" r:id="rId30"/>
    <sheet name="收益法-联排" sheetId="77" state="hidden" r:id="rId31"/>
    <sheet name="比较法-车位" sheetId="35" state="hidden" r:id="rId32"/>
    <sheet name="收益法-车库" sheetId="78"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2" hidden="1">'比较法-办公'!$A$1:$L$50</definedName>
    <definedName name="_xlnm._FilterDatabase" localSheetId="33" hidden="1">'比较法-仓储'!$A$1:$L$37</definedName>
    <definedName name="_xlnm._FilterDatabase" localSheetId="31" hidden="1">'比较法-车位'!$A$1:$L$39</definedName>
    <definedName name="_xlnm._FilterDatabase" localSheetId="28" hidden="1">'比较法-工业'!$A$1:$L$43</definedName>
    <definedName name="_xlnm._FilterDatabase" localSheetId="29" hidden="1">'比较法-联排'!$A$1:$L$49</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2">'收益法-车库'!$A$1:$AK$69</definedName>
    <definedName name="_xlnm.Print_Area" localSheetId="30">'收益法-联排'!$A$1:$AK$69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'比较法-联排'!$B$88:$M$88</definedName>
    <definedName name="住宅朝向">'比较法-住宅'!$B$88:$M$88</definedName>
    <definedName name="住宅房型" localSheetId="29">'比较法-联排'!$B$118:$M$118</definedName>
    <definedName name="住宅房型">'比较法-住宅'!$B$118:$M$118</definedName>
    <definedName name="住宅公共部分装修" localSheetId="29">'比较法-联排'!$B$109:$M$109</definedName>
    <definedName name="住宅公共部分装修">'比较法-住宅'!$B$109:$M$109</definedName>
    <definedName name="住宅基础设施水平" localSheetId="29">'比较法-联排'!$B$116:$M$116</definedName>
    <definedName name="住宅基础设施水平">'比较法-住宅'!$B$116:$M$116</definedName>
    <definedName name="住宅建筑结构" localSheetId="29">'比较法-联排'!$B$105:$M$105</definedName>
    <definedName name="住宅建筑结构">'比较法-住宅'!$B$105:$M$105</definedName>
    <definedName name="住宅建筑类型" localSheetId="29">'比较法-联排'!$B$100:$M$100</definedName>
    <definedName name="住宅建筑类型">'比较法-住宅'!$B$100:$M$100</definedName>
    <definedName name="住宅建筑品质" localSheetId="29">'比较法-联排'!$B$107:$M$107</definedName>
    <definedName name="住宅建筑品质">'比较法-住宅'!$B$107:$M$107</definedName>
    <definedName name="住宅交易情况" localSheetId="29">'比较法-联排'!$A$61:$M$61</definedName>
    <definedName name="住宅交易情况">'比较法-住宅'!$A$61:$M$61</definedName>
    <definedName name="住宅楼层" localSheetId="29">'比较法-联排'!$B$86:$M$86</definedName>
    <definedName name="住宅楼层">'比较法-住宅'!$B$86:$M$86</definedName>
    <definedName name="住宅内部装修" localSheetId="29">'比较法-联排'!$B$122:$M$122</definedName>
    <definedName name="住宅内部装修">'比较法-住宅'!$B$122:$M$122</definedName>
    <definedName name="住宅物业管理" localSheetId="29">'比较法-联排'!$B$114:$M$114</definedName>
    <definedName name="住宅物业管理">'比较法-住宅'!$B$114:$M$114</definedName>
    <definedName name="住宅用途" localSheetId="29">'比较法-联排'!$B$63:$M$63</definedName>
    <definedName name="住宅用途">'比较法-住宅'!$B$63:$M$63</definedName>
    <definedName name="住宅主力户型面积" localSheetId="29">'比较法-联排'!$B$120:$M$120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8" i="34" l="1"/>
  <c r="B25" i="31"/>
  <c r="B26" i="31"/>
  <c r="B27" i="31"/>
  <c r="B28" i="31"/>
  <c r="B29" i="31"/>
  <c r="B30" i="31"/>
  <c r="B31" i="31"/>
  <c r="B32" i="31"/>
  <c r="B24" i="31"/>
  <c r="A25" i="31"/>
  <c r="A26" i="31"/>
  <c r="A27" i="31"/>
  <c r="A28" i="31"/>
  <c r="A29" i="31"/>
  <c r="A30" i="31"/>
  <c r="A31" i="31"/>
  <c r="A32" i="31"/>
  <c r="A24" i="31"/>
  <c r="B127" i="34"/>
  <c r="F45" i="34"/>
  <c r="AA45" i="34"/>
  <c r="B129" i="34"/>
  <c r="F46" i="34"/>
  <c r="AA46" i="34"/>
  <c r="B131" i="34"/>
  <c r="F47" i="34"/>
  <c r="AA47" i="34"/>
  <c r="B93" i="34"/>
  <c r="F29" i="34"/>
  <c r="AA29" i="34"/>
  <c r="B95" i="34"/>
  <c r="F30" i="34"/>
  <c r="AA30" i="34"/>
  <c r="B97" i="34"/>
  <c r="F31" i="34"/>
  <c r="AA31" i="34"/>
  <c r="B99" i="34"/>
  <c r="F32" i="34"/>
  <c r="AA32" i="34"/>
  <c r="R48" i="34"/>
  <c r="R49" i="34"/>
  <c r="H45" i="34"/>
  <c r="AB45" i="34"/>
  <c r="H46" i="34"/>
  <c r="AB46" i="34"/>
  <c r="H47" i="34"/>
  <c r="AB47" i="34"/>
  <c r="H29" i="34"/>
  <c r="AB29" i="34"/>
  <c r="H30" i="34"/>
  <c r="AB30" i="34"/>
  <c r="H31" i="34"/>
  <c r="AB31" i="34"/>
  <c r="H32" i="34"/>
  <c r="AB32" i="34"/>
  <c r="T49" i="34"/>
  <c r="J45" i="34"/>
  <c r="AC45" i="34"/>
  <c r="J46" i="34"/>
  <c r="AC46" i="34"/>
  <c r="J47" i="34"/>
  <c r="AC47" i="34"/>
  <c r="J29" i="34"/>
  <c r="AC29" i="34"/>
  <c r="J30" i="34"/>
  <c r="AC30" i="34"/>
  <c r="J31" i="34"/>
  <c r="AC31" i="34"/>
  <c r="J32" i="34"/>
  <c r="AC32" i="34"/>
  <c r="V49" i="34"/>
  <c r="R50" i="34"/>
  <c r="C50" i="34"/>
  <c r="B3" i="34"/>
  <c r="C20" i="9"/>
  <c r="F6" i="15"/>
  <c r="F8" i="15"/>
  <c r="F7" i="15"/>
  <c r="F9" i="15"/>
  <c r="C6" i="15"/>
  <c r="F4" i="73"/>
  <c r="I1" i="73"/>
  <c r="B39" i="1"/>
  <c r="F11" i="15"/>
  <c r="C10" i="15"/>
  <c r="C5" i="15"/>
  <c r="C32" i="15"/>
  <c r="C14" i="15"/>
  <c r="C15" i="15"/>
  <c r="F16" i="15"/>
  <c r="C16" i="15"/>
  <c r="F43" i="15"/>
  <c r="C17" i="15"/>
  <c r="C18" i="15"/>
  <c r="C19"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R24" i="31"/>
  <c r="G48" i="34"/>
  <c r="I48" i="34"/>
  <c r="I37" i="34"/>
  <c r="G37" i="34"/>
  <c r="E37" i="34"/>
  <c r="C37" i="34"/>
  <c r="I7" i="34"/>
  <c r="G7" i="34"/>
  <c r="E7" i="34"/>
  <c r="Y6" i="1"/>
  <c r="N7" i="1"/>
  <c r="N6" i="1"/>
  <c r="F20" i="6"/>
  <c r="F19" i="6"/>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D2" i="79"/>
  <c r="B2" i="79"/>
  <c r="B3" i="79"/>
  <c r="A6" i="1"/>
  <c r="A7" i="1"/>
  <c r="A8" i="1"/>
  <c r="A9" i="1"/>
  <c r="G1" i="78"/>
  <c r="K9" i="1"/>
  <c r="M9" i="1"/>
  <c r="S9" i="1"/>
  <c r="T9" i="1"/>
  <c r="E19" i="6"/>
  <c r="K6" i="1"/>
  <c r="M6" i="1"/>
  <c r="F27" i="6"/>
  <c r="E20" i="6"/>
  <c r="E27" i="6"/>
  <c r="K19" i="6"/>
  <c r="S6" i="1"/>
  <c r="T6" i="1"/>
  <c r="K7" i="1"/>
  <c r="M7" i="1"/>
  <c r="K20" i="6"/>
  <c r="S7" i="1"/>
  <c r="T7" i="1"/>
  <c r="K8" i="1"/>
  <c r="M8" i="1"/>
  <c r="S8" i="1"/>
  <c r="T8" i="1"/>
  <c r="C14" i="78"/>
  <c r="F15" i="78"/>
  <c r="C15" i="78"/>
  <c r="F16" i="78"/>
  <c r="C16" i="78"/>
  <c r="F17" i="78"/>
  <c r="F43" i="78"/>
  <c r="C17" i="78"/>
  <c r="F18" i="78"/>
  <c r="C18" i="78"/>
  <c r="C19" i="78"/>
  <c r="F20" i="78"/>
  <c r="C20" i="78"/>
  <c r="C1" i="73"/>
  <c r="J1" i="73"/>
  <c r="B22" i="1"/>
  <c r="E1" i="73"/>
  <c r="D3" i="73"/>
  <c r="K1"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R9" i="1"/>
  <c r="L19" i="6"/>
  <c r="M19" i="6"/>
  <c r="I19" i="6"/>
  <c r="H19" i="6"/>
  <c r="D19" i="6"/>
  <c r="R19" i="6"/>
  <c r="L20" i="6"/>
  <c r="M20" i="6"/>
  <c r="I20" i="6"/>
  <c r="H20" i="6"/>
  <c r="D20" i="6"/>
  <c r="R20" i="6"/>
  <c r="R7" i="1"/>
  <c r="R8" i="1"/>
  <c r="F35" i="78"/>
  <c r="C34" i="78"/>
  <c r="C31" i="78"/>
  <c r="F36" i="78"/>
  <c r="C36" i="78"/>
  <c r="F37" i="78"/>
  <c r="C37" i="78"/>
  <c r="F38" i="78"/>
  <c r="C38" i="78"/>
  <c r="C30" i="78"/>
  <c r="C39" i="78"/>
  <c r="F42" i="78"/>
  <c r="F40" i="78"/>
  <c r="AE9" i="1"/>
  <c r="G1" i="15"/>
  <c r="F8" i="1"/>
  <c r="M47" i="15"/>
  <c r="J50" i="15"/>
  <c r="J51" i="15"/>
  <c r="AE7" i="1"/>
  <c r="AE8" i="1"/>
  <c r="F41" i="78"/>
  <c r="C40" i="78"/>
  <c r="C83" i="78"/>
  <c r="C82" i="78"/>
  <c r="C76" i="78"/>
  <c r="C75" i="78"/>
  <c r="C80" i="78"/>
  <c r="C79" i="78"/>
  <c r="M6" i="78"/>
  <c r="M8" i="78"/>
  <c r="M7" i="78"/>
  <c r="M9" i="78"/>
  <c r="J6" i="78"/>
  <c r="M11" i="78"/>
  <c r="J10" i="78"/>
  <c r="J5" i="78"/>
  <c r="J26" i="78"/>
  <c r="J29" i="78"/>
  <c r="Q65" i="78"/>
  <c r="M47" i="78"/>
  <c r="F9" i="1"/>
  <c r="F6" i="1"/>
  <c r="L48" i="78"/>
  <c r="J50" i="78"/>
  <c r="J51" i="78"/>
  <c r="L51" i="78"/>
  <c r="L57" i="78"/>
  <c r="D9" i="1"/>
  <c r="D6" i="1"/>
  <c r="D8"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B24" i="1"/>
  <c r="M59" i="78"/>
  <c r="F59" i="78"/>
  <c r="Q58" i="78"/>
  <c r="L56" i="78"/>
  <c r="I54" i="78"/>
  <c r="Q47" i="78"/>
  <c r="Q48" i="78"/>
  <c r="Q53" i="78"/>
  <c r="Q52" i="78"/>
  <c r="Q51" i="78"/>
  <c r="Q50" i="78"/>
  <c r="Q49" i="78"/>
  <c r="L46" i="78"/>
  <c r="D46" i="78"/>
  <c r="C46" i="78"/>
  <c r="C43" i="78"/>
  <c r="F31" i="78"/>
  <c r="M29" i="78"/>
  <c r="M28" i="78"/>
  <c r="AG9" i="1"/>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R26" i="31"/>
  <c r="C27" i="31"/>
  <c r="R27" i="31"/>
  <c r="C28" i="31"/>
  <c r="R28" i="31"/>
  <c r="C29" i="31"/>
  <c r="R29" i="31"/>
  <c r="C30" i="31"/>
  <c r="R30" i="31"/>
  <c r="C31" i="31"/>
  <c r="R31" i="31"/>
  <c r="C32"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R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U25" i="34"/>
  <c r="AB36" i="34"/>
  <c r="W33" i="34"/>
  <c r="AC14" i="34"/>
  <c r="W29" i="34"/>
  <c r="W46" i="34"/>
  <c r="S32" i="34"/>
  <c r="U30" i="34"/>
  <c r="S37" i="34"/>
  <c r="U38" i="34"/>
  <c r="AC40" i="34"/>
  <c r="W40" i="34"/>
  <c r="AA19" i="34"/>
  <c r="S19" i="34"/>
  <c r="AA36" i="34"/>
  <c r="S36" i="34"/>
  <c r="AA8" i="34"/>
  <c r="S8" i="34"/>
  <c r="AB9" i="34"/>
  <c r="U9" i="34"/>
  <c r="S46" i="34"/>
  <c r="U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C23" i="68"/>
  <c r="E38" i="43"/>
  <c r="E6" i="3"/>
  <c r="C47" i="68"/>
  <c r="D45" i="68"/>
  <c r="AA10" i="39"/>
  <c r="D10"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M21" i="15"/>
  <c r="M21" i="67"/>
  <c r="F35" i="67"/>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2" i="69"/>
  <c r="B3" i="69"/>
  <c r="B2" i="68"/>
  <c r="B3" i="67"/>
  <c r="E2" i="68"/>
  <c r="B2" i="34"/>
  <c r="C19" i="9"/>
  <c r="D2" i="36"/>
  <c r="D2" i="21"/>
  <c r="D2" i="34"/>
  <c r="D2" i="33"/>
  <c r="D2" i="37"/>
  <c r="D2" i="35"/>
  <c r="F20" i="31"/>
  <c r="B20" i="31"/>
  <c r="B2" i="36"/>
  <c r="B3" i="36"/>
  <c r="B2" i="35"/>
  <c r="B3" i="35"/>
  <c r="B2" i="37"/>
  <c r="B3" i="37"/>
  <c r="B2" i="21"/>
  <c r="B3" i="21"/>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<sst xmlns="http://schemas.openxmlformats.org/spreadsheetml/2006/main" count="8501" uniqueCount="3118">
  <si>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</si>
  <si>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</si>
  <si>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</si>
  <si>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</si>
  <si>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</si>
  <si>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</si>
  <si>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</si>
  <si>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</si>
  <si>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</si>
  <si>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</si>
  <si>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</si>
  <si>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</si>
  <si>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</si>
  <si>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</si>
  <si>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</si>
  <si>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</si>
  <si>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</si>
  <si>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</si>
  <si>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</si>
  <si>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</si>
  <si>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</si>
  <si>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</si>
  <si>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</si>
  <si>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</si>
  <si>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</si>
  <si>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</si>
  <si>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</si>
  <si>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</si>
  <si>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</si>
  <si>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</si>
  <si>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</si>
  <si>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</si>
  <si>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</si>
  <si>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</si>
  <si>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</si>
  <si>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</si>
  <si>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</si>
  <si>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</si>
  <si>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</si>
  <si>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</si>
  <si>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</si>
  <si>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</si>
  <si>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</si>
  <si>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</si>
  <si>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</si>
  <si>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</si>
  <si>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</si>
  <si>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</si>
  <si>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</si>
  <si>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</si>
  <si>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</si>
  <si>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</si>
  <si>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</si>
  <si>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</si>
  <si>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</si>
  <si>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</si>
  <si>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</si>
  <si>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</si>
  <si>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</si>
  <si>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</si>
  <si>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</si>
  <si>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</si>
  <si>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</si>
  <si>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</si>
  <si>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</si>
  <si>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</si>
  <si>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</si>
  <si>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</si>
  <si>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</si>
  <si>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</si>
  <si>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</si>
  <si>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</si>
  <si>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</si>
  <si>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</si>
  <si>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</si>
  <si>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</si>
  <si>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</si>
  <si>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</si>
  <si>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</si>
  <si>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</si>
  <si>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</si>
  <si>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</si>
  <si>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</si>
  <si>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</si>
  <si>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</si>
  <si>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</si>
  <si>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</si>
  <si>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</si>
  <si>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</si>
  <si>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</si>
  <si>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</si>
  <si>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</si>
  <si>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</si>
  <si>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</si>
  <si>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</si>
  <si>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</si>
  <si>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</si>
  <si>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</si>
  <si>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</si>
  <si>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</si>
  <si>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</si>
  <si>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</si>
  <si>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</si>
  <si>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</si>
  <si>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</si>
  <si>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</si>
  <si>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</si>
  <si>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</si>
  <si>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</si>
  <si>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</si>
  <si>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</si>
  <si>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</si>
  <si>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</si>
  <si>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</si>
  <si>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</si>
  <si>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</si>
  <si>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</si>
  <si>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</si>
  <si>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</si>
  <si>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</si>
  <si>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</si>
  <si>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</si>
  <si>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</si>
  <si>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</si>
  <si>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</si>
  <si>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</si>
  <si>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</si>
  <si>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</si>
  <si>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</si>
  <si>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</si>
  <si>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</si>
  <si>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</si>
  <si>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</si>
  <si>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</si>
  <si>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</si>
  <si>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</si>
  <si>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</si>
  <si>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</si>
  <si>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</si>
  <si>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</si>
  <si>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</si>
  <si>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</si>
  <si>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</si>
  <si>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</si>
  <si>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</si>
  <si>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</si>
  <si>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</si>
  <si>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</si>
  <si>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</si>
  <si>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</si>
  <si>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</si>
  <si>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</si>
  <si>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</si>
  <si>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</si>
  <si>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</si>
  <si>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</si>
  <si>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</si>
  <si>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</si>
  <si>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</si>
  <si>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</si>
  <si>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</si>
  <si>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</si>
  <si>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</si>
  <si>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</si>
  <si>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</si>
  <si>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</si>
  <si>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</si>
  <si>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</si>
  <si>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</si>
  <si>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</si>
  <si>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</si>
  <si>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</si>
  <si>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</si>
  <si>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</si>
  <si>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</si>
  <si>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</si>
  <si>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</si>
  <si>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</si>
  <si>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</si>
  <si>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</si>
  <si>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</si>
  <si>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</si>
  <si>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</si>
  <si>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</si>
  <si>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</si>
  <si>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</si>
  <si>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</si>
  <si>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</si>
  <si>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</si>
  <si>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</si>
  <si>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</si>
  <si>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</si>
  <si>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</si>
  <si>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</si>
  <si>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</si>
  <si>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</si>
  <si>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</si>
  <si>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</si>
  <si>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</si>
  <si>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</si>
  <si>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</si>
  <si>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</si>
  <si>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</si>
  <si>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</si>
  <si>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</si>
  <si>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</si>
  <si>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</si>
  <si>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</si>
  <si>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</si>
  <si>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</si>
  <si>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</si>
  <si>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</si>
  <si>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</si>
  <si>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</si>
  <si>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</si>
  <si>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</si>
  <si>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</si>
  <si>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</si>
  <si>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</si>
  <si>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</si>
  <si>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</si>
  <si>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</si>
  <si>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</si>
  <si>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</si>
  <si>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</si>
  <si>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</si>
  <si>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</si>
  <si>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</si>
  <si>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</si>
  <si>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</si>
  <si>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</si>
  <si>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</si>
  <si>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</si>
  <si>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</si>
  <si>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</si>
  <si>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</si>
  <si>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</si>
  <si>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</si>
  <si>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</si>
  <si>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</si>
  <si>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</si>
  <si>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</si>
  <si>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</si>
  <si>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</si>
  <si>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</si>
  <si>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</si>
  <si>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</si>
  <si>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</si>
  <si>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</si>
  <si>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</si>
  <si>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</si>
  <si>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</si>
  <si>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</si>
  <si>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</si>
  <si>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</si>
  <si>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</si>
  <si>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</si>
  <si>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</si>
  <si>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</si>
  <si>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</si>
  <si>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</si>
  <si>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</si>
  <si>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</si>
  <si>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</si>
  <si>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</si>
  <si>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</si>
  <si>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</si>
  <si>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</si>
  <si>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</si>
  <si>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</si>
  <si>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</si>
  <si>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</si>
  <si>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</si>
  <si>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</si>
  <si>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</si>
  <si>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</si>
  <si>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</si>
  <si>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</si>
  <si>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</si>
  <si>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</si>
  <si>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</si>
  <si>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</si>
  <si>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</si>
  <si>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</si>
  <si>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</si>
  <si>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</si>
  <si>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</si>
  <si>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</si>
  <si>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</si>
  <si>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</si>
  <si>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</si>
  <si>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</si>
  <si>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</si>
  <si>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</si>
  <si>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</si>
  <si>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</si>
  <si>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</si>
  <si>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</si>
  <si>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</si>
  <si>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</si>
  <si>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</si>
  <si>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</si>
  <si>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</si>
  <si>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</si>
  <si>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</si>
  <si>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</si>
  <si>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</si>
  <si>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</si>
  <si>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</si>
  <si>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</si>
  <si>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</si>
  <si>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</si>
  <si>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</si>
  <si>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</si>
  <si>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</si>
  <si>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</si>
  <si>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</si>
  <si>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</si>
  <si>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</si>
  <si>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</si>
  <si>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</si>
  <si>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</si>
  <si>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</si>
  <si>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</si>
  <si>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</si>
  <si>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</si>
  <si>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</si>
  <si>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</si>
  <si>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</si>
  <si>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</si>
  <si>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</si>
  <si>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</si>
  <si>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</si>
  <si>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</si>
  <si>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</si>
  <si>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</si>
  <si>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</si>
  <si>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</si>
  <si>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</si>
  <si>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</si>
  <si>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</si>
  <si>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</si>
  <si>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</si>
  <si>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</si>
  <si>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</si>
  <si>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</si>
  <si>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</si>
  <si>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</si>
  <si>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</si>
  <si>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</si>
  <si>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</si>
  <si>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</si>
  <si>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</si>
  <si>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</si>
  <si>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</si>
  <si>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</si>
  <si>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</si>
  <si>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</si>
  <si>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</si>
  <si>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</si>
  <si>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</si>
  <si>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</si>
  <si>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</si>
  <si>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</si>
  <si>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</si>
  <si>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</si>
  <si>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</si>
  <si>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</si>
  <si>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</si>
  <si>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</si>
  <si>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</si>
  <si>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</si>
  <si>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</si>
  <si>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</si>
  <si>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</si>
  <si>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</si>
  <si>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</si>
  <si>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</si>
  <si>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</si>
  <si>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</si>
  <si>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</si>
  <si>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</si>
  <si>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</si>
  <si>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</si>
  <si>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</si>
  <si>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</si>
  <si>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</si>
  <si>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</si>
  <si>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</si>
  <si>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</si>
  <si>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</si>
  <si>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</si>
  <si>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</si>
  <si>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</si>
  <si>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</si>
  <si>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</si>
  <si>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</si>
  <si>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</si>
  <si>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</si>
  <si>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</si>
  <si>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</si>
  <si>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</si>
  <si>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</si>
  <si>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</si>
  <si>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</si>
  <si>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</si>
  <si>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</si>
  <si>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</si>
  <si>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</si>
  <si>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</si>
  <si>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</si>
  <si>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</si>
  <si>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</si>
  <si>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</si>
  <si>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</si>
  <si>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</si>
  <si>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</si>
  <si>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</si>
  <si>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</si>
  <si>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</si>
  <si>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</si>
  <si>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</si>
  <si>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</si>
  <si>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</si>
  <si>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</si>
  <si>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</si>
  <si>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</si>
  <si>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</si>
  <si>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</si>
  <si>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</si>
  <si>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</si>
  <si>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</si>
  <si>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</si>
  <si>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</si>
  <si>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</si>
  <si>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</si>
  <si>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</si>
  <si>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</si>
  <si>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</si>
  <si>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</si>
  <si>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</si>
  <si>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</si>
  <si>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</si>
  <si>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</si>
  <si>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</si>
  <si>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</si>
  <si>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</si>
  <si>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</si>
  <si>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</si>
  <si>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</si>
  <si>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</si>
  <si>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</si>
  <si>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</si>
  <si>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</si>
  <si>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</si>
  <si>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</si>
  <si>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</si>
  <si>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</si>
  <si>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</si>
  <si>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</si>
  <si>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</si>
  <si>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</si>
  <si>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</si>
  <si>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</si>
  <si>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</si>
  <si>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</si>
  <si>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</si>
  <si>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</si>
  <si>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</si>
  <si>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</si>
  <si>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</si>
  <si>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</si>
  <si>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</si>
  <si>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</si>
  <si>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</si>
  <si>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</si>
  <si>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</si>
  <si>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</si>
  <si>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</si>
  <si>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</si>
  <si>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</si>
  <si>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</si>
  <si>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</si>
  <si>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</si>
  <si>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</si>
  <si>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</si>
  <si>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</si>
  <si>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</si>
  <si>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</si>
  <si>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</si>
  <si>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</si>
  <si>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</si>
  <si>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</si>
  <si>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</si>
  <si>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</si>
  <si>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</si>
  <si>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</si>
  <si>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</si>
  <si>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</si>
  <si>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</si>
  <si>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</si>
  <si>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</si>
  <si>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</si>
  <si>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</si>
  <si>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</si>
  <si>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</si>
  <si>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</si>
  <si>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</si>
  <si>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</si>
  <si>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</si>
  <si>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</si>
  <si>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</si>
  <si>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</si>
  <si>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</si>
  <si>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</si>
  <si>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</si>
  <si>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</si>
  <si>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</si>
  <si>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</si>
  <si>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</si>
  <si>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</si>
  <si>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</si>
  <si>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</si>
  <si>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</si>
  <si>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</si>
  <si>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</si>
  <si>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</si>
  <si>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</si>
  <si>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</si>
  <si>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</si>
  <si>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</si>
  <si>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</si>
  <si>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</si>
  <si>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</si>
  <si>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</si>
  <si>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</si>
  <si>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</si>
  <si>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</si>
  <si>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</si>
  <si>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</si>
  <si>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</si>
  <si>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</si>
  <si>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</si>
  <si>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</si>
  <si>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</si>
  <si>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</si>
  <si>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</si>
  <si>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</si>
  <si>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</si>
  <si>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</si>
  <si>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</si>
  <si>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</si>
  <si>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</si>
  <si>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</si>
  <si>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</si>
  <si>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</si>
  <si>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</si>
  <si>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</si>
  <si>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</si>
  <si>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</si>
  <si>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</si>
  <si>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</si>
  <si>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</si>
  <si>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</si>
  <si>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</si>
  <si>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</si>
  <si>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</si>
  <si>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</si>
  <si>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</si>
  <si>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</si>
  <si>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</si>
  <si>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</si>
  <si>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</si>
  <si>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</si>
  <si>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</si>
  <si>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</si>
  <si>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</si>
  <si>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</si>
  <si>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</si>
  <si>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</si>
  <si>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</si>
  <si>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</si>
  <si>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</si>
  <si>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</si>
  <si>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</si>
  <si>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</si>
  <si>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</si>
  <si>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</si>
  <si>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</si>
  <si>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</si>
  <si>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</si>
  <si>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</si>
  <si>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</si>
  <si>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</si>
  <si>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</si>
  <si>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</si>
  <si>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</si>
  <si>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</si>
  <si>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</si>
  <si>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</si>
  <si>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</si>
  <si>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</si>
  <si>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</si>
  <si>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</si>
  <si>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</si>
  <si>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</si>
  <si>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</si>
  <si>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</si>
  <si>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</si>
  <si>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</si>
  <si>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</si>
  <si>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</si>
  <si>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</si>
  <si>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</si>
  <si>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</si>
  <si>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</si>
  <si>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</si>
  <si>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</si>
  <si>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</si>
  <si>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</si>
  <si>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</si>
  <si>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</si>
  <si>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</si>
  <si>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</si>
  <si>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</si>
  <si>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</si>
  <si>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</si>
  <si>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</si>
  <si>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</si>
  <si>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</si>
  <si>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</si>
  <si>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</si>
  <si>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</si>
  <si>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</si>
  <si>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</si>
  <si>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</si>
  <si>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</si>
  <si>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</si>
  <si>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</si>
  <si>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</si>
  <si>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</si>
  <si>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</si>
  <si>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</si>
  <si>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</si>
  <si>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</si>
  <si>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</si>
  <si>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</si>
  <si>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</si>
  <si>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</si>
  <si>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</si>
  <si>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</si>
  <si>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</si>
  <si>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</si>
  <si>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</si>
  <si>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</si>
  <si>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</si>
  <si>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</si>
  <si>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</si>
  <si>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</si>
  <si>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</si>
  <si>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</si>
  <si>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</si>
  <si>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</si>
  <si>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</si>
  <si>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</si>
  <si>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</si>
  <si>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</si>
  <si>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</si>
  <si>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</si>
  <si>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</si>
  <si>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</si>
  <si>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</si>
  <si>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</si>
  <si>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</si>
  <si>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</si>
  <si>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</si>
  <si>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</si>
  <si>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</si>
  <si>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</si>
  <si>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</si>
  <si>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</si>
  <si>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</si>
  <si>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</si>
  <si>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</si>
  <si>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</si>
  <si>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</si>
  <si>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</si>
  <si>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</si>
  <si>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</si>
  <si>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</si>
  <si>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</si>
  <si>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</si>
  <si>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</si>
  <si>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</si>
  <si>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</si>
  <si>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</si>
  <si>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</si>
  <si>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</si>
  <si>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</si>
  <si>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</si>
  <si>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</si>
  <si>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</si>
  <si>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</si>
  <si>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</si>
  <si>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</si>
  <si>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</si>
  <si>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</si>
  <si>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</si>
  <si>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</si>
  <si>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</si>
  <si>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</si>
  <si>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</si>
  <si>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</si>
  <si>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</si>
  <si>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</si>
  <si>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</si>
  <si>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</si>
  <si>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</si>
  <si>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</si>
  <si>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</si>
  <si>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</si>
  <si>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</si>
  <si>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</si>
  <si>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</si>
  <si>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</si>
  <si>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</si>
  <si>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</si>
  <si>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</si>
  <si>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</si>
  <si>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</si>
  <si>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</si>
  <si>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</si>
  <si>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</si>
  <si>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</si>
  <si>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</si>
  <si>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</si>
  <si>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</si>
  <si>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</si>
  <si>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</si>
  <si>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</si>
  <si>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</si>
  <si>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</si>
  <si>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</si>
  <si>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</si>
  <si>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</si>
  <si>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</si>
  <si>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</si>
  <si>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</si>
  <si>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</si>
  <si>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</si>
  <si>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</si>
  <si>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</si>
  <si>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</si>
  <si>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</si>
  <si>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</si>
  <si>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</si>
  <si>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</si>
  <si>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</si>
  <si>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</si>
  <si>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</si>
  <si>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</si>
  <si>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</si>
  <si>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</si>
  <si>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</si>
  <si>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</si>
  <si>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</si>
  <si>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</si>
  <si>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</si>
  <si>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</si>
  <si>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</si>
  <si>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</si>
  <si>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</si>
  <si>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</si>
  <si>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</si>
  <si>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</si>
  <si>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</si>
  <si>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</si>
  <si>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</si>
  <si>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</si>
  <si>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</si>
  <si>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</si>
  <si>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</si>
  <si>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</si>
  <si>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</si>
  <si>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</si>
  <si>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</si>
  <si>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</si>
  <si>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</si>
  <si>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</si>
  <si>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</si>
  <si>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</si>
  <si>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</si>
  <si>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</si>
  <si>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</si>
  <si>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</si>
  <si>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</si>
  <si>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</si>
  <si>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</si>
  <si>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</si>
  <si>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</si>
  <si>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</si>
  <si>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</si>
  <si>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</si>
  <si>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</si>
  <si>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</si>
  <si>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</si>
  <si>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</si>
  <si>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</si>
  <si>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</si>
  <si>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</si>
  <si>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</si>
  <si>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</si>
  <si>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</si>
  <si>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</si>
  <si>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</si>
  <si>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</si>
  <si>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</si>
  <si>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</si>
  <si>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</si>
  <si>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</si>
  <si>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</si>
  <si>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</si>
  <si>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</si>
  <si>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</si>
  <si>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</si>
  <si>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</si>
  <si>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</si>
  <si>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</si>
  <si>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</si>
  <si>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</si>
  <si>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</si>
  <si>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</si>
  <si>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</si>
  <si>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</si>
  <si>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</si>
  <si>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</si>
  <si>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</si>
  <si>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</si>
  <si>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</si>
  <si>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</si>
  <si>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</si>
  <si>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</si>
  <si>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</si>
  <si>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</si>
  <si>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</si>
  <si>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</si>
  <si>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</si>
  <si>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</si>
  <si>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</si>
  <si>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</si>
  <si>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</si>
  <si>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</si>
  <si>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</si>
  <si>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</si>
  <si>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</si>
  <si>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</si>
  <si>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</si>
  <si>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</si>
  <si>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</si>
  <si>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</si>
  <si>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</si>
  <si>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</si>
  <si>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</si>
  <si>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</si>
  <si>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</si>
  <si>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</si>
  <si>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</si>
  <si>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</si>
  <si>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</si>
  <si>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</si>
  <si>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</si>
  <si>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</si>
  <si>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</si>
  <si>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</si>
  <si>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</si>
  <si>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</si>
  <si>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</si>
  <si>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</si>
  <si>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</si>
  <si>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</si>
  <si>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</si>
  <si>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</si>
  <si>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</si>
  <si>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</si>
  <si>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</si>
  <si>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</si>
  <si>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</si>
  <si>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</si>
  <si>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</si>
  <si>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</si>
  <si>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</si>
  <si>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</si>
  <si>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</si>
  <si>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</si>
  <si>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</si>
  <si>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</si>
  <si>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</si>
  <si>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</si>
  <si>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</si>
  <si>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</si>
  <si>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</si>
  <si>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</si>
  <si>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</si>
  <si>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</si>
  <si>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</si>
  <si>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</si>
  <si>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</si>
  <si>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</si>
  <si>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</si>
  <si>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</si>
  <si>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</si>
  <si>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</si>
  <si>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</si>
  <si>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</si>
  <si>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</si>
  <si>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</si>
  <si>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</si>
  <si>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</si>
  <si>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</si>
  <si>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</si>
  <si>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</si>
  <si>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</si>
  <si>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</si>
  <si>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</si>
  <si>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</si>
  <si>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</si>
  <si>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</si>
  <si>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</si>
  <si>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</si>
  <si>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</si>
  <si>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</si>
  <si>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</si>
  <si>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</si>
  <si>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</si>
  <si>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</si>
  <si>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</si>
  <si>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</si>
  <si>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</si>
  <si>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</si>
  <si>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</si>
  <si>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</si>
  <si>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</si>
  <si>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</si>
  <si>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</si>
  <si>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</si>
  <si>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</si>
  <si>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</si>
  <si>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</si>
  <si>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</si>
  <si>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</si>
  <si>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</si>
  <si>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</si>
  <si>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</si>
  <si>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</si>
  <si>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</si>
  <si>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</si>
  <si>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</si>
  <si>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</si>
  <si>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</si>
  <si>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</si>
  <si>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</si>
  <si>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</si>
  <si>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</si>
  <si>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</si>
  <si>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</si>
  <si>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</si>
  <si>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</si>
  <si>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</si>
  <si>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</si>
  <si>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</si>
  <si>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</si>
  <si>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</si>
  <si>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</si>
  <si>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</si>
  <si>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</si>
  <si>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</si>
  <si>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</si>
  <si>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</si>
  <si>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</si>
  <si>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</si>
  <si>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</si>
  <si>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</si>
  <si>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</si>
  <si>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</si>
  <si>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</si>
  <si>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</si>
  <si>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</si>
  <si>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</si>
  <si>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</si>
  <si>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</si>
  <si>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</si>
  <si>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</si>
  <si>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</si>
  <si>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</si>
  <si>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</si>
  <si>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</si>
  <si>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</si>
  <si>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</si>
  <si>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</si>
  <si>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</si>
  <si>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</si>
  <si>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</si>
  <si>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</si>
  <si>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</si>
  <si>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</si>
  <si>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</si>
  <si>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</si>
  <si>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</si>
  <si>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</si>
  <si>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</si>
  <si>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</si>
  <si>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</si>
  <si>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</si>
  <si>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</si>
  <si>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</si>
  <si>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</si>
  <si>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</si>
  <si>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</si>
  <si>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</si>
  <si>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</si>
  <si>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</si>
  <si>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</si>
  <si>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</si>
  <si>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</si>
  <si>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</si>
  <si>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</si>
  <si>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</si>
  <si>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</si>
  <si>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</si>
  <si>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</si>
  <si>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</si>
  <si>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</si>
  <si>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</si>
  <si>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</si>
  <si>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</si>
  <si>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</si>
  <si>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</si>
  <si>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</si>
  <si>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</si>
  <si>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</si>
  <si>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</si>
  <si>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</si>
  <si>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</si>
  <si>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</si>
  <si>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</si>
  <si>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</si>
  <si>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</si>
  <si>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</si>
  <si>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</si>
  <si>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</si>
  <si>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</si>
  <si>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</si>
  <si>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</si>
  <si>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</si>
  <si>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</si>
  <si>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</si>
  <si>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</si>
  <si>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</si>
  <si>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</si>
  <si>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</si>
  <si>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</si>
  <si>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</si>
  <si>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</si>
  <si>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</si>
  <si>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</si>
  <si>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</si>
  <si>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</si>
  <si>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</si>
  <si>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</si>
  <si>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</si>
  <si>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</si>
  <si>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</si>
  <si>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</si>
  <si>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</si>
  <si>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</si>
  <si>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</si>
  <si>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</si>
  <si>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</si>
  <si>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</si>
  <si>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</si>
  <si>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</si>
  <si>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</si>
  <si>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</si>
  <si>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</si>
  <si>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</si>
  <si>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</si>
  <si>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</si>
  <si>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</si>
  <si>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</si>
  <si>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</si>
  <si>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</si>
  <si>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</si>
  <si>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</si>
  <si>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</si>
  <si>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</si>
  <si>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</si>
  <si>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</si>
  <si>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</si>
  <si>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</si>
  <si>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</si>
  <si>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</si>
  <si>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</si>
  <si>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</si>
  <si>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</si>
  <si>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</si>
  <si>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</si>
  <si>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</si>
  <si>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</si>
  <si>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</si>
  <si>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</si>
  <si>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</si>
  <si>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</si>
  <si>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</si>
  <si>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</si>
  <si>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</si>
  <si>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</si>
  <si>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</si>
  <si>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</si>
  <si>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</si>
  <si>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</si>
  <si>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</si>
  <si>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</si>
  <si>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</si>
  <si>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</si>
  <si>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</si>
  <si>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</si>
  <si>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</si>
  <si>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</si>
  <si>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</si>
  <si>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</si>
  <si>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</si>
  <si>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</si>
  <si>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</si>
  <si>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</si>
  <si>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</si>
  <si>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</si>
  <si>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</si>
  <si>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</si>
  <si>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</si>
  <si>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</si>
  <si>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</si>
  <si>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</si>
  <si>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</si>
  <si>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</si>
  <si>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</si>
  <si>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</si>
  <si>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</si>
  <si>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</si>
  <si>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</si>
  <si>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</si>
  <si>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</si>
  <si>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</si>
  <si>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</si>
  <si>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</si>
  <si>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</si>
  <si>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</si>
  <si>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</si>
  <si>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</si>
  <si>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</si>
  <si>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</si>
  <si>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</si>
  <si>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</si>
  <si>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</si>
  <si>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</si>
  <si>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</si>
  <si>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</si>
  <si>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</si>
  <si>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</si>
  <si>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</si>
  <si>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</si>
  <si>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</si>
  <si>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</si>
  <si>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</si>
  <si>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</si>
  <si>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</si>
  <si>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</si>
  <si>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</si>
  <si>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</si>
  <si>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</si>
  <si>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</si>
  <si>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</si>
  <si>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</si>
  <si>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</si>
  <si>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</si>
  <si>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</si>
  <si>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</si>
  <si>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</si>
  <si>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</si>
  <si>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</si>
  <si>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</si>
  <si>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</si>
  <si>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</si>
  <si>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</si>
  <si>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</si>
  <si>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</si>
  <si>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</si>
  <si>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</si>
  <si>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</si>
  <si>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</si>
  <si>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</si>
  <si>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</si>
  <si>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</si>
  <si>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</si>
  <si>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</si>
  <si>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</si>
  <si>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</si>
  <si>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</si>
  <si>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</si>
  <si>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</si>
  <si>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</si>
  <si>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</si>
  <si>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</si>
  <si>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</si>
  <si>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</si>
  <si>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</si>
  <si>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</si>
  <si>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</si>
  <si>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</si>
  <si>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</si>
  <si>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</si>
  <si>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</si>
  <si>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</si>
  <si>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</si>
  <si>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</si>
  <si>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</si>
  <si>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</si>
  <si>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</si>
  <si>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</si>
  <si>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</si>
  <si>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</si>
  <si>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</si>
  <si>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</si>
  <si>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</si>
  <si>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</si>
  <si>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</si>
  <si>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</si>
  <si>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</si>
  <si>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</si>
  <si>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</si>
  <si>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</si>
  <si>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</si>
  <si>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</si>
  <si>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</si>
  <si>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</si>
  <si>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</si>
  <si>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</si>
  <si>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</si>
  <si>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</si>
  <si>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</si>
  <si>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</si>
  <si>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</si>
  <si>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</si>
  <si>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</si>
  <si>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</si>
  <si>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</si>
  <si>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</si>
  <si>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</si>
  <si>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</si>
  <si>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</si>
  <si>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</si>
  <si>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</si>
  <si>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</si>
  <si>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</si>
  <si>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</si>
  <si>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</si>
  <si>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</si>
  <si>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</si>
  <si>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</si>
  <si>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</si>
  <si>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</si>
  <si>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</si>
  <si>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</si>
  <si>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</si>
  <si>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</si>
  <si>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</si>
  <si>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</si>
  <si>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</si>
  <si>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</si>
  <si>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</si>
  <si>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</si>
  <si>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</si>
  <si>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</si>
  <si>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</si>
  <si>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</si>
  <si>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</si>
  <si>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</si>
  <si>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</si>
  <si>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</si>
  <si>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</si>
  <si>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</si>
  <si>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</si>
  <si>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</si>
  <si>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</si>
  <si>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</si>
  <si>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</si>
  <si>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</si>
  <si>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</si>
  <si>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</si>
  <si>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</si>
  <si>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</si>
  <si>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</si>
  <si>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</si>
  <si>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</si>
  <si>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</si>
  <si>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</si>
  <si>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</si>
  <si>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</si>
  <si>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</si>
  <si>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</si>
  <si>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</si>
  <si>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</si>
  <si>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</si>
  <si>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</si>
  <si>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</si>
  <si>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</si>
  <si>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</si>
  <si>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</si>
  <si>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</si>
  <si>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</si>
  <si>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</si>
  <si>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</si>
  <si>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</si>
  <si>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</si>
  <si>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</si>
  <si>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</si>
  <si>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</si>
  <si>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</si>
  <si>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</si>
  <si>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</si>
  <si>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</si>
  <si>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</si>
  <si>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</si>
  <si>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</si>
  <si>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</si>
  <si>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</si>
  <si>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</si>
  <si>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</si>
  <si>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</si>
  <si>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</si>
  <si>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</si>
  <si>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</si>
  <si>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</si>
  <si>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</si>
  <si>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</si>
  <si>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</si>
  <si>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</si>
  <si>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</si>
  <si>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</si>
  <si>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</si>
  <si>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</si>
  <si>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</si>
  <si>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</si>
  <si>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</si>
  <si>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</si>
  <si>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</si>
  <si>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</si>
  <si>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</si>
  <si>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</si>
  <si>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</si>
  <si>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</si>
  <si>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</si>
  <si>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</si>
  <si>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</si>
  <si>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</si>
  <si>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</si>
  <si>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</si>
  <si>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</si>
  <si>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</si>
  <si>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</si>
  <si>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</si>
  <si>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</si>
  <si>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</si>
  <si>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</si>
  <si>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</si>
  <si>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</si>
  <si>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</si>
  <si>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</si>
  <si>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</si>
  <si>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</si>
  <si>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</si>
  <si>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</si>
  <si>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</si>
  <si>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</si>
  <si>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</si>
  <si>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</si>
  <si>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</si>
  <si>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</si>
  <si>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</si>
  <si>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</si>
  <si>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</si>
  <si>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</si>
  <si>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</si>
  <si>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</si>
  <si>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</si>
  <si>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</si>
  <si>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</si>
  <si>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</si>
  <si>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</si>
  <si>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</si>
  <si>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</si>
  <si>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</si>
  <si>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</si>
  <si>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</si>
  <si>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</si>
  <si>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</si>
  <si>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</si>
  <si>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</si>
  <si>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</si>
  <si>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</si>
  <si>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</si>
  <si>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</si>
  <si>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</si>
  <si>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</si>
  <si>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</si>
  <si>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</si>
  <si>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</si>
  <si>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</si>
  <si>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</si>
  <si>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</si>
  <si>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</si>
  <si>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</si>
  <si>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</si>
  <si>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</si>
  <si>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</si>
  <si>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</si>
  <si>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</si>
  <si>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</si>
  <si>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</si>
  <si>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</si>
  <si>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</si>
  <si>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</si>
  <si>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</si>
  <si>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</si>
  <si>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</si>
  <si>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</si>
  <si>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</si>
  <si>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</si>
  <si>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</si>
  <si>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</si>
  <si>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</si>
  <si>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</si>
  <si>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</si>
  <si>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</si>
  <si>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</si>
  <si>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</si>
  <si>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</si>
  <si>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</si>
  <si>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</si>
  <si>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</si>
  <si>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</si>
  <si>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</si>
  <si>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</si>
  <si>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</si>
  <si>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</si>
  <si>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</si>
  <si>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</si>
  <si>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</si>
  <si>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</si>
  <si>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</si>
  <si>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</si>
  <si>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</si>
  <si>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</si>
  <si>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</si>
  <si>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</si>
  <si>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</si>
  <si>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</si>
  <si>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</si>
  <si>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</si>
  <si>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</si>
  <si>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</si>
  <si>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</si>
  <si>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</si>
  <si>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</si>
  <si>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</si>
  <si>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</si>
  <si>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</si>
  <si>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</si>
  <si>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</si>
  <si>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</si>
  <si>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</si>
  <si>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</si>
  <si>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</si>
  <si>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</si>
  <si>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</si>
  <si>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</si>
  <si>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</si>
  <si>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</si>
  <si>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</si>
  <si>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</si>
  <si>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</si>
  <si>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</si>
  <si>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</si>
  <si>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</si>
  <si>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</si>
  <si>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</si>
  <si>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</si>
  <si>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</si>
  <si>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</si>
  <si>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</si>
  <si>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</si>
  <si>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</si>
  <si>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</si>
  <si>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</si>
  <si>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</si>
  <si>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</si>
  <si>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</si>
  <si>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</si>
  <si>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</si>
  <si>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</si>
  <si>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</si>
  <si>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</si>
  <si>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</si>
  <si>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</si>
  <si>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</si>
  <si>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</si>
  <si>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</si>
  <si>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</si>
  <si>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</si>
  <si>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</si>
  <si>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</si>
  <si>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</si>
  <si>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</si>
  <si>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</si>
  <si>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</si>
  <si>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</si>
  <si>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</si>
  <si>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</si>
  <si>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</si>
  <si>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</si>
  <si>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</si>
  <si>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</si>
  <si>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</si>
  <si>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</si>
  <si>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</si>
  <si>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</si>
  <si>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</si>
  <si>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</si>
  <si>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</si>
  <si>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</si>
  <si>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</si>
  <si>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</si>
  <si>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</si>
  <si>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</si>
  <si>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</si>
  <si>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</si>
  <si>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</si>
  <si>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</si>
  <si>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</si>
  <si>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</si>
  <si>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</si>
  <si>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</si>
  <si>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</si>
  <si>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</si>
  <si>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</si>
  <si>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</si>
  <si>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</si>
  <si>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</si>
  <si>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</si>
  <si>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</si>
  <si>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</si>
  <si>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</si>
  <si>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</si>
  <si>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</si>
  <si>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</si>
  <si>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</si>
  <si>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</si>
  <si>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</si>
  <si>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</si>
  <si>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</si>
  <si>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</si>
  <si>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</si>
  <si>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</si>
  <si>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</si>
  <si>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</si>
  <si>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</si>
  <si>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</si>
  <si>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</si>
  <si>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</si>
  <si>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</si>
  <si>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</si>
  <si>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</si>
  <si>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</si>
  <si>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</si>
  <si>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</si>
  <si>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</si>
  <si>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</si>
  <si>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</si>
  <si>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</si>
  <si>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</si>
  <si>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</si>
  <si>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</si>
  <si>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</si>
  <si>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</si>
  <si>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</si>
  <si>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</si>
  <si>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</si>
  <si>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</si>
  <si>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</si>
  <si>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</si>
  <si>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</si>
  <si>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</si>
  <si>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</si>
  <si>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</si>
  <si>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</si>
  <si>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</si>
  <si>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</si>
  <si>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</si>
  <si>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</si>
  <si>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</si>
  <si>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</si>
  <si>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</si>
  <si>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</si>
  <si>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</si>
  <si>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</si>
  <si>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</si>
  <si>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</si>
  <si>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</si>
  <si>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</si>
  <si>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</si>
  <si>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</si>
  <si>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</si>
  <si>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</si>
  <si>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</si>
  <si>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</si>
  <si>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</si>
  <si>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</si>
  <si>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</si>
  <si>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</si>
  <si>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</si>
  <si>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</si>
  <si>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</si>
  <si>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</si>
  <si>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</si>
  <si>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</si>
  <si>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</si>
  <si>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</si>
  <si>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</si>
  <si>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</si>
  <si>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</si>
  <si>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</si>
  <si>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</si>
  <si>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</si>
  <si>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</si>
  <si>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</si>
  <si>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</si>
  <si>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</si>
  <si>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</si>
  <si>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</si>
  <si>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</si>
  <si>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</si>
  <si>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</si>
  <si>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</si>
  <si>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</si>
  <si>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</si>
  <si>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</si>
  <si>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</si>
  <si>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</si>
  <si>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</si>
  <si>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</si>
  <si>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</si>
  <si>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</si>
  <si>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</si>
  <si>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</si>
  <si>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</si>
  <si>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</si>
  <si>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</si>
  <si>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</si>
  <si>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</si>
  <si>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</si>
  <si>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</si>
  <si>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</si>
  <si>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</si>
  <si>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</si>
  <si>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</si>
  <si>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</si>
  <si>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</si>
  <si>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</si>
  <si>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</si>
  <si>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</si>
  <si>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</si>
  <si>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</si>
  <si>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</si>
  <si>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</si>
  <si>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</si>
  <si>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</si>
  <si>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</si>
  <si>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</si>
  <si>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</si>
  <si>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</si>
  <si>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</si>
  <si>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</si>
  <si>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</si>
  <si>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</si>
  <si>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</si>
  <si>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</si>
  <si>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</si>
  <si>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</si>
  <si>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</si>
  <si>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</si>
  <si>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</si>
  <si>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</si>
  <si>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</si>
  <si>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</si>
  <si>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</si>
  <si>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</si>
  <si>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</si>
  <si>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</si>
  <si>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</si>
  <si>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</si>
  <si>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</si>
  <si>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</si>
  <si>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</si>
  <si>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</si>
  <si>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</si>
  <si>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</si>
  <si>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</si>
  <si>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</si>
  <si>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</si>
  <si>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</si>
  <si>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</si>
  <si>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</si>
  <si>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</si>
  <si>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</si>
  <si>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</si>
  <si>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</si>
  <si>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</si>
  <si>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</si>
  <si>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</si>
  <si>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</si>
  <si>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</si>
  <si>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</si>
  <si>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</si>
  <si>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</si>
  <si>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</si>
  <si>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</si>
  <si>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</si>
  <si>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</si>
  <si>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</si>
  <si>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</si>
  <si>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</si>
  <si>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</si>
  <si>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</si>
  <si>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</si>
  <si>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</si>
  <si>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</si>
  <si>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</si>
  <si>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</si>
  <si>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</si>
  <si>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</si>
  <si>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</si>
  <si>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</si>
  <si>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</si>
  <si>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</si>
  <si>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</si>
  <si>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</si>
  <si>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</si>
  <si>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</si>
  <si>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</si>
  <si>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</si>
  <si>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</si>
  <si>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</si>
  <si>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</si>
  <si>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</si>
  <si>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</si>
  <si>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</si>
  <si>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</si>
  <si>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</si>
  <si>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</si>
  <si>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</si>
  <si>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</si>
  <si>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</si>
  <si>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</si>
  <si>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</si>
  <si>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</si>
  <si>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</si>
  <si>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</si>
  <si>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</si>
  <si>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</si>
  <si>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</si>
  <si>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</si>
  <si>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</si>
  <si>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</si>
  <si>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</si>
  <si>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</si>
  <si>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</si>
  <si>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</si>
  <si>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</si>
  <si>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</si>
  <si>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</si>
  <si>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</si>
  <si>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</si>
  <si>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</si>
  <si>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</si>
  <si>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</si>
  <si>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</si>
  <si>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</si>
  <si>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</si>
  <si>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</si>
  <si>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</si>
  <si>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</si>
  <si>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</si>
  <si>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</si>
  <si>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</si>
  <si>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</si>
  <si>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</si>
  <si>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</si>
  <si>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</si>
  <si>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</si>
  <si>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</si>
  <si>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</si>
  <si>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</si>
  <si>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</si>
  <si>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</si>
  <si>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</si>
  <si>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</si>
  <si>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</si>
  <si>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</si>
  <si>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</si>
  <si>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</si>
  <si>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</si>
  <si>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</si>
  <si>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</si>
  <si>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</si>
  <si>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</si>
  <si>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</si>
  <si>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</si>
  <si>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</si>
  <si>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</si>
  <si>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</si>
  <si>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</si>
  <si>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</si>
  <si>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</si>
  <si>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</si>
  <si>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</si>
  <si>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</si>
  <si>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</si>
  <si>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</si>
  <si>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</si>
  <si>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</si>
  <si>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</si>
  <si>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</si>
  <si>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</si>
  <si>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</si>
  <si>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</si>
  <si>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</si>
  <si>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</si>
  <si>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</si>
  <si>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</si>
  <si>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</si>
  <si>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</si>
  <si>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</si>
  <si>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</si>
  <si>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</si>
  <si>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</si>
  <si>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</si>
  <si>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</si>
  <si>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</si>
  <si>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</si>
  <si>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</si>
  <si>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</si>
  <si>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</si>
  <si>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</si>
  <si>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</si>
  <si>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</si>
  <si>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</si>
  <si>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</si>
  <si>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</si>
  <si>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</si>
  <si>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</si>
  <si>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</si>
  <si>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</si>
  <si>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</si>
  <si>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</si>
  <si>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</si>
  <si>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</si>
  <si>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</si>
  <si>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</si>
  <si>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</si>
  <si>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</si>
  <si>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</si>
  <si>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</si>
  <si>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</si>
  <si>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</si>
  <si>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</si>
  <si>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</si>
  <si>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</si>
  <si>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</si>
  <si>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</si>
  <si>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</si>
  <si>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</si>
  <si>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</si>
  <si>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</si>
  <si>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</si>
  <si>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</si>
  <si>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</si>
  <si>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</si>
  <si>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</si>
  <si>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</si>
  <si>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</si>
  <si>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</si>
  <si>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</si>
  <si>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</si>
  <si>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</si>
  <si>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</si>
  <si>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</si>
  <si>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</si>
  <si>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</si>
  <si>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</si>
  <si>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</si>
  <si>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</si>
  <si>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</si>
  <si>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</si>
  <si>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</si>
  <si>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</si>
  <si>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</si>
  <si>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</si>
  <si>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</si>
  <si>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</si>
  <si>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</si>
  <si>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</si>
  <si>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</si>
  <si>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</si>
  <si>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</si>
  <si>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</si>
  <si>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</si>
  <si>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</si>
  <si>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</si>
  <si>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</si>
  <si>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</si>
  <si>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</si>
  <si>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</si>
  <si>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</si>
  <si>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</si>
  <si>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</si>
  <si>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</si>
  <si>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</si>
  <si>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</si>
  <si>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</si>
  <si>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</si>
  <si>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</si>
  <si>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</si>
  <si>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</si>
  <si>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</si>
  <si>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</si>
  <si>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</si>
  <si>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</si>
  <si>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</si>
  <si>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</si>
  <si>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</si>
  <si>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</si>
  <si>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</si>
  <si>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</si>
  <si>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</si>
  <si>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</si>
  <si>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</si>
  <si>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</si>
  <si>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</si>
  <si>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</si>
  <si>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</si>
  <si>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</si>
  <si>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</si>
  <si>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</si>
  <si>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</si>
  <si>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</si>
  <si>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</si>
  <si>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</si>
  <si>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</si>
  <si>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</si>
  <si>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</si>
  <si>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</si>
  <si>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</si>
  <si>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</si>
  <si>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</si>
  <si>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</si>
  <si>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</si>
  <si>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</si>
  <si>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</si>
  <si>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</si>
  <si>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</si>
  <si>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</si>
  <si>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</si>
  <si>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</si>
  <si>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</si>
  <si>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</si>
  <si>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</si>
  <si>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</si>
  <si>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</si>
  <si>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</si>
  <si>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</si>
  <si>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</si>
  <si>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</si>
  <si>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</si>
  <si>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</si>
  <si>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</si>
  <si>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</si>
  <si>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</si>
  <si>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</si>
  <si>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</si>
  <si>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</si>
  <si>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</si>
  <si>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</si>
  <si>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</si>
  <si>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</si>
  <si>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</si>
  <si>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</si>
  <si>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</si>
  <si>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</si>
  <si>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</si>
  <si>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</si>
  <si>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</si>
  <si>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</si>
  <si>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</si>
  <si>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</si>
  <si>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</si>
  <si>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</si>
  <si>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</si>
  <si>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</si>
  <si>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</si>
  <si>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</si>
  <si>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</si>
  <si>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</si>
  <si>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</si>
  <si>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</si>
  <si>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</si>
  <si>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</si>
  <si>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</si>
  <si>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</si>
  <si>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</si>
  <si>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</si>
  <si>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</si>
  <si>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</si>
  <si>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</si>
  <si>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</si>
  <si>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</si>
  <si>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</si>
  <si>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</si>
  <si>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</si>
  <si>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</si>
  <si>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</si>
  <si>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</si>
  <si>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</si>
  <si>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</si>
  <si>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</si>
  <si>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</si>
  <si>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</si>
  <si>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</si>
  <si>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</si>
  <si>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</si>
  <si>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</si>
  <si>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</si>
  <si>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</si>
  <si>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</si>
  <si>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</si>
  <si>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</si>
  <si>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</si>
  <si>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</si>
  <si>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</si>
  <si>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</si>
  <si>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</si>
  <si>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</si>
  <si>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</si>
  <si>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</si>
  <si>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</si>
  <si>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</si>
  <si>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</si>
  <si>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</si>
  <si>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</si>
  <si>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</si>
  <si>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</si>
  <si>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</si>
  <si>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</si>
  <si>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</si>
  <si>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</si>
  <si>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</si>
  <si>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</si>
  <si>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</si>
  <si>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</si>
  <si>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</si>
  <si>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</si>
  <si>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</si>
  <si>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</si>
  <si>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</si>
  <si>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</si>
  <si>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</si>
  <si>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</si>
  <si>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</si>
  <si>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</si>
  <si>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</si>
  <si>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</si>
  <si>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</si>
  <si>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</si>
  <si>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</si>
  <si>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</si>
  <si>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</si>
  <si>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</si>
  <si>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</si>
  <si>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</si>
  <si>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</si>
  <si>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</si>
  <si>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</si>
  <si>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</si>
  <si>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</si>
  <si>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</si>
  <si>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</si>
  <si>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</si>
  <si>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</si>
  <si>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</si>
  <si>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</si>
  <si>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</si>
  <si>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</si>
  <si>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</si>
  <si>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</si>
  <si>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</si>
  <si>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</si>
  <si>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</si>
  <si>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</si>
  <si>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</si>
  <si>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</si>
  <si>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</si>
  <si>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</si>
  <si>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</si>
  <si>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</si>
  <si>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</si>
  <si>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</si>
  <si>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</si>
  <si>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</si>
  <si>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</si>
  <si>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</si>
  <si>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</si>
  <si>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</si>
  <si>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</si>
  <si>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</si>
  <si>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</si>
  <si>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</si>
  <si>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</si>
  <si>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</si>
  <si>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</si>
  <si>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</si>
  <si>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</si>
  <si>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</si>
  <si>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</si>
  <si>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</si>
  <si>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</si>
  <si>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</si>
  <si>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</si>
  <si>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</si>
  <si>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</si>
  <si>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</si>
  <si>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</si>
  <si>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</si>
  <si>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</si>
  <si>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</si>
  <si>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</si>
  <si>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</si>
  <si>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</si>
  <si>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</si>
  <si>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</si>
  <si>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</si>
  <si>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</si>
  <si>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</si>
  <si>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</si>
  <si>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</si>
  <si>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</si>
  <si>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</si>
  <si>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</si>
  <si>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</si>
  <si>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</si>
  <si>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</si>
  <si>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</si>
  <si>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</si>
  <si>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</si>
  <si>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</si>
  <si>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</si>
  <si>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</si>
  <si>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</si>
  <si>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</si>
  <si>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</si>
  <si>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</si>
  <si>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</si>
  <si>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</si>
  <si>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</si>
  <si>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</si>
  <si>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</si>
  <si>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</si>
  <si>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</si>
  <si>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</si>
  <si>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</si>
  <si>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</si>
  <si>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</si>
  <si>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</si>
  <si>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</si>
  <si>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</si>
  <si>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</si>
  <si>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</si>
  <si>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</si>
  <si>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</si>
  <si>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</si>
  <si>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</si>
  <si>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</si>
  <si>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</si>
  <si>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</si>
  <si>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</si>
  <si>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</si>
  <si>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</si>
  <si>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</si>
  <si>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</si>
  <si>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</si>
  <si>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</si>
  <si>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</si>
  <si>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</si>
  <si>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</si>
  <si>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</si>
  <si>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</si>
  <si>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</si>
  <si>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</si>
  <si>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</si>
  <si>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</si>
  <si>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</si>
  <si>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</si>
  <si>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</si>
  <si>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</si>
  <si>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</si>
  <si>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</si>
  <si>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</si>
  <si>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</si>
  <si>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</si>
  <si>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</si>
  <si>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</si>
  <si>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</si>
  <si>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</si>
  <si>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</si>
  <si>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</si>
  <si>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</si>
  <si>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</si>
  <si>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</si>
  <si>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</si>
  <si>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</si>
  <si>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</si>
  <si>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</si>
  <si>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</si>
  <si>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</si>
  <si>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</si>
  <si>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</si>
  <si>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</si>
  <si>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</si>
  <si>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</si>
  <si>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</si>
  <si>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</si>
  <si>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</si>
  <si>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</si>
  <si>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</si>
  <si>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</si>
  <si>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</si>
  <si>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</si>
  <si>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</si>
  <si>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</si>
  <si>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</si>
  <si>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</si>
  <si>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</si>
  <si>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</si>
  <si>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</si>
  <si>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</si>
  <si>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</si>
  <si>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</si>
  <si>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</si>
  <si>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</si>
  <si>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</si>
  <si>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</si>
  <si>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</si>
  <si>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</si>
  <si>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</si>
  <si>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</si>
  <si>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</si>
  <si>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</si>
  <si>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</si>
  <si>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</si>
  <si>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</si>
  <si>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</si>
  <si>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</si>
  <si>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</si>
  <si>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</si>
  <si>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</si>
  <si>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</si>
  <si>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</si>
  <si>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</si>
  <si>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</si>
  <si>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</si>
  <si>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</si>
  <si>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</si>
  <si>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</si>
  <si>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</si>
  <si>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</si>
  <si>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</si>
  <si>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</si>
  <si>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</si>
  <si>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</si>
  <si>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</si>
  <si>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</si>
  <si>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</si>
  <si>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</si>
  <si>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</si>
  <si>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</si>
  <si>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</si>
  <si>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</si>
  <si>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</si>
  <si>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</si>
  <si>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</si>
  <si>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</si>
  <si>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</si>
  <si>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</si>
  <si>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</si>
  <si>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</si>
  <si>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</si>
  <si>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</si>
  <si>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</si>
  <si>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</si>
  <si>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</si>
  <si>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</si>
  <si>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</si>
  <si>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</si>
  <si>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</si>
  <si>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</si>
  <si>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</si>
  <si>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</si>
  <si>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</si>
  <si>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</si>
  <si>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</si>
  <si>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</si>
  <si>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</si>
  <si>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</si>
  <si>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</si>
  <si>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</si>
  <si>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</si>
  <si>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</si>
  <si>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</si>
  <si>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</si>
  <si>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</si>
  <si>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</si>
  <si>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</si>
  <si>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</si>
  <si>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</si>
  <si>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</si>
  <si>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</si>
  <si>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</si>
  <si>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</si>
  <si>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</si>
  <si>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</si>
  <si>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</si>
  <si>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</si>
  <si>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</si>
  <si>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</si>
  <si>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</si>
  <si>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</si>
  <si>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</si>
  <si>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</si>
  <si>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</si>
  <si>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</si>
  <si>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</si>
  <si>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</si>
  <si>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</si>
  <si>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</si>
  <si>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</si>
  <si>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</si>
  <si>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</si>
  <si>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</si>
  <si>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</si>
  <si>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</si>
  <si>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</si>
  <si>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</si>
  <si>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</si>
  <si>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</si>
  <si>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</si>
  <si>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</si>
  <si>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</si>
  <si>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</si>
  <si>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</si>
  <si>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</si>
  <si>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</si>
  <si>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</si>
  <si>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</si>
  <si>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</si>
  <si>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</si>
  <si>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</si>
  <si>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</si>
  <si>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</si>
  <si>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</si>
  <si>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</si>
  <si>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</si>
  <si>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</si>
  <si>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</si>
  <si>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</si>
  <si>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</si>
  <si>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</si>
  <si>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</si>
  <si>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</si>
  <si>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</si>
  <si>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</si>
  <si>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</si>
  <si>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</si>
  <si>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</si>
  <si>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</si>
  <si>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</si>
  <si>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</si>
  <si>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</si>
  <si>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</si>
  <si>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</si>
  <si>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</si>
  <si>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</si>
  <si>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</si>
  <si>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</si>
  <si>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</si>
  <si>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</si>
  <si>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</si>
  <si>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</si>
  <si>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</si>
  <si>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</si>
  <si>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</si>
  <si>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</si>
  <si>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</si>
  <si>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</si>
  <si>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</si>
  <si>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</si>
  <si>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</si>
  <si>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</si>
  <si>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</si>
  <si>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</si>
  <si>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</si>
  <si>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</si>
  <si>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</si>
  <si>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</si>
  <si>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</si>
  <si>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</si>
  <si>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</si>
  <si>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</si>
  <si>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</si>
  <si>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</si>
  <si>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</si>
  <si>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</si>
  <si>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</si>
  <si>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</si>
  <si>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</si>
  <si>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</si>
  <si>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</si>
  <si>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</si>
  <si>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</si>
  <si>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</si>
  <si>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</si>
  <si>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</si>
  <si>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</si>
  <si>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</si>
  <si>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</si>
  <si>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</si>
  <si>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</si>
  <si>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</si>
  <si>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</si>
  <si>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</si>
  <si>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</si>
  <si>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</si>
  <si>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</si>
  <si>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</si>
  <si>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</si>
  <si>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</si>
  <si>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</si>
  <si>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</si>
  <si>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</si>
  <si>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</si>
  <si>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</si>
  <si>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</si>
  <si>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</si>
  <si>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</si>
  <si>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</si>
  <si>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</si>
  <si>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</si>
  <si>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</si>
  <si>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</si>
  <si>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</si>
  <si>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</si>
  <si>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</si>
  <si>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</si>
  <si>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</si>
  <si>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</si>
  <si>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</si>
  <si>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</si>
  <si>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</si>
  <si>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</si>
  <si>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</si>
  <si>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</si>
  <si>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</si>
  <si>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</si>
  <si>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</si>
  <si>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</si>
  <si>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</si>
  <si>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</si>
  <si>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</si>
  <si>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</si>
  <si>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</si>
  <si>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</si>
  <si>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</si>
  <si>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</si>
  <si>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</si>
  <si>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</si>
  <si>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</si>
  <si>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</si>
  <si>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</si>
  <si>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</si>
  <si>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</si>
  <si>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</si>
  <si>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</si>
  <si>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</si>
  <si>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</si>
  <si>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</si>
  <si>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</si>
  <si>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</si>
  <si>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</si>
  <si>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</si>
  <si>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</si>
  <si>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</si>
  <si>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</si>
  <si>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</si>
  <si>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</si>
  <si>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</si>
  <si>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</si>
  <si>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</si>
  <si>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</si>
  <si>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</si>
  <si>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</si>
  <si>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</si>
  <si>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</si>
  <si>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</si>
  <si>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</si>
  <si>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</si>
  <si>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</si>
  <si>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</si>
  <si>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</si>
  <si>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</si>
  <si>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</si>
  <si>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</si>
  <si>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</si>
  <si>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</si>
  <si>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</si>
  <si>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</si>
  <si>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</si>
  <si>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</si>
  <si>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</si>
  <si>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</si>
  <si>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</si>
  <si>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</si>
  <si>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</si>
  <si>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</si>
  <si>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</si>
  <si>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</si>
  <si>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</si>
  <si>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</si>
  <si>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</si>
  <si>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</si>
  <si>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</si>
  <si>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</si>
  <si>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</si>
  <si>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</si>
  <si>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</si>
  <si>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</si>
  <si>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</si>
  <si>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</si>
  <si>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</si>
  <si>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</si>
  <si>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</si>
  <si>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</si>
  <si>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</si>
  <si>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</si>
  <si>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</si>
  <si>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</si>
  <si>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</si>
  <si>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</si>
  <si>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</si>
  <si>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</si>
  <si>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</si>
  <si>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</si>
  <si>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</si>
  <si>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</si>
  <si>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</si>
  <si>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</si>
  <si>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</si>
  <si>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</si>
  <si>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</si>
  <si>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</si>
  <si>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</si>
  <si>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</si>
  <si>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</si>
  <si>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</si>
  <si>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</si>
  <si>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</si>
  <si>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</si>
  <si>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</si>
  <si>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</si>
  <si>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</si>
  <si>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</si>
  <si>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</si>
  <si>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</si>
  <si>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</si>
  <si>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</si>
  <si>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</si>
  <si>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</si>
  <si>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</si>
  <si>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</si>
  <si>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</si>
  <si>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</si>
  <si>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</si>
  <si>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</si>
  <si>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</si>
  <si>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</si>
  <si>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</si>
  <si>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</si>
  <si>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</si>
  <si>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</si>
  <si>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</si>
  <si>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</si>
  <si>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</si>
  <si>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</si>
  <si>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</si>
  <si>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</si>
  <si>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</si>
  <si>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</si>
  <si>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</si>
  <si>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</si>
  <si>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</si>
  <si>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</si>
  <si>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</si>
  <si>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</si>
  <si>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</si>
  <si>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</si>
  <si>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</si>
  <si>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</si>
  <si>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</si>
  <si>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</si>
  <si>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</si>
  <si>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</si>
  <si>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</si>
  <si>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</si>
  <si>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</si>
  <si>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</si>
  <si>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</si>
  <si>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</si>
  <si>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</si>
  <si>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</si>
  <si>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</si>
  <si>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</si>
  <si>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</si>
  <si>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</si>
  <si>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</si>
  <si>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</si>
  <si>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</si>
  <si>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</si>
  <si>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</si>
  <si>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</si>
  <si>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</si>
  <si>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</si>
  <si>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</si>
  <si>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</si>
  <si>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</si>
  <si>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</si>
  <si>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</si>
  <si>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</si>
  <si>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</si>
  <si>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</si>
  <si>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</si>
  <si>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</si>
  <si>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</si>
  <si>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</si>
  <si>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</si>
  <si>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</si>
  <si>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</si>
  <si>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</si>
  <si>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</si>
  <si>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</si>
  <si>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</si>
  <si>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</si>
  <si>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</si>
  <si>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</si>
  <si>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</si>
  <si>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</si>
  <si>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</si>
  <si>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</si>
  <si>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</si>
  <si>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</si>
  <si>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</si>
  <si>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</si>
  <si>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</si>
  <si>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</si>
  <si>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</si>
  <si>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</si>
  <si>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</si>
  <si>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</si>
  <si>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</si>
  <si>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</si>
  <si>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</si>
  <si>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</si>
  <si>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</si>
  <si>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</si>
  <si>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</si>
  <si>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</si>
  <si>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</si>
  <si>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</si>
  <si>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</si>
  <si>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</si>
  <si>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</si>
  <si>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</si>
  <si>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</si>
  <si>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</si>
  <si>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</si>
  <si>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</si>
  <si>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</si>
  <si>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</si>
  <si>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</si>
  <si>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</si>
  <si>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</si>
  <si>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</si>
  <si>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</si>
  <si>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</si>
  <si>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</si>
  <si>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</si>
  <si>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</si>
  <si>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</si>
  <si>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</si>
  <si>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</si>
  <si>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</si>
  <si>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</si>
  <si>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</si>
  <si>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</si>
  <si>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</si>
  <si>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</si>
  <si>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</si>
  <si>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</si>
  <si>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</si>
  <si>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</si>
  <si>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</si>
  <si>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</si>
  <si>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</si>
  <si>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</si>
  <si>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</si>
  <si>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</si>
  <si>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</si>
  <si>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</si>
  <si>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</si>
  <si>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</si>
  <si>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</si>
  <si>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</si>
  <si>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</si>
  <si>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</si>
  <si>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</si>
  <si>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</si>
  <si>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</si>
  <si>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</si>
  <si>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</si>
  <si>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</si>
  <si>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</si>
  <si>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</si>
  <si>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</si>
  <si>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</si>
  <si>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</si>
  <si>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</si>
  <si>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</si>
  <si>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</si>
  <si>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</si>
  <si>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</si>
  <si>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</si>
  <si>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</si>
  <si>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</si>
  <si>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</si>
  <si>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</si>
  <si>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</si>
  <si>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</si>
  <si>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</si>
  <si>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</si>
  <si>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</si>
  <si>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</si>
  <si>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</si>
  <si>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</si>
  <si>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</si>
  <si>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</si>
  <si>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</si>
  <si>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</si>
  <si>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</si>
  <si>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</si>
  <si>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</si>
  <si>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</si>
  <si>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</si>
  <si>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</si>
  <si>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</si>
  <si>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</si>
  <si>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</si>
  <si>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</si>
  <si>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</si>
  <si>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</si>
  <si>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</si>
  <si>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</si>
  <si>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</si>
  <si>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</si>
  <si>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</si>
  <si>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</si>
  <si>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</si>
  <si>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</si>
  <si>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</si>
  <si>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</si>
  <si>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</si>
  <si>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</si>
  <si>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</si>
  <si>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</si>
  <si>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</si>
  <si>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</si>
  <si>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</si>
  <si>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</si>
  <si>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</si>
  <si>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</si>
  <si>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</si>
  <si>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</si>
  <si>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</si>
  <si>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</si>
  <si>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</si>
  <si>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</si>
  <si>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</si>
  <si>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</si>
  <si>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</si>
  <si>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</si>
  <si>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</si>
  <si>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</si>
  <si>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</si>
  <si>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</si>
  <si>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</si>
  <si>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</si>
  <si>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</si>
  <si>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</si>
  <si>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</si>
  <si>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</si>
  <si>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</si>
  <si>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</si>
  <si>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</si>
  <si>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</si>
  <si>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</si>
  <si>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</si>
  <si>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</si>
  <si>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</si>
  <si>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</si>
  <si>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</si>
  <si>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</si>
  <si>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</si>
  <si>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</si>
  <si>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</si>
  <si>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</si>
  <si>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</si>
  <si>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</si>
  <si>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</si>
  <si>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</si>
  <si>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</si>
  <si>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</si>
  <si>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</si>
  <si>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</si>
  <si>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</si>
  <si>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</si>
  <si>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</si>
  <si>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</si>
  <si>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</si>
  <si>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</si>
  <si>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</si>
  <si>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</si>
  <si>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</si>
  <si>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</si>
  <si>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</si>
  <si>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</si>
  <si>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</si>
  <si>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</si>
  <si>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</si>
  <si>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</si>
  <si>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</si>
  <si>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</si>
  <si>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</si>
  <si>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</si>
  <si>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</si>
  <si>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</si>
  <si>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</si>
  <si>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</si>
  <si>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</si>
  <si>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</si>
  <si>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</si>
  <si>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</si>
  <si>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</si>
  <si>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</si>
  <si>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</si>
  <si>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</si>
  <si>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</si>
  <si>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</si>
  <si>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</si>
  <si>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</si>
  <si>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</si>
  <si>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</si>
  <si>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</si>
  <si>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</si>
  <si>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</si>
  <si>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</si>
  <si>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</si>
  <si>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</si>
  <si>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</si>
  <si>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</si>
  <si>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</si>
  <si>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</si>
  <si>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</si>
  <si>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</si>
  <si>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</si>
  <si>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</si>
  <si>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</si>
  <si>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</si>
  <si>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</si>
  <si>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</si>
  <si>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</si>
  <si>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</si>
  <si>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</si>
  <si>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</si>
  <si>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</si>
  <si>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</si>
  <si>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</si>
  <si>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</si>
  <si>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</si>
  <si>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</si>
  <si>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</si>
  <si>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</si>
  <si>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</si>
  <si>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</si>
  <si>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</si>
  <si>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</si>
  <si>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</si>
  <si>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</si>
  <si>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</si>
  <si>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</si>
  <si>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</si>
  <si>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</si>
  <si>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</si>
  <si>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</si>
  <si>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</si>
  <si>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</si>
  <si>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</si>
  <si>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</si>
  <si>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</si>
  <si>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</si>
  <si>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</si>
  <si>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</si>
  <si>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</si>
  <si>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</si>
  <si>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</si>
  <si>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</si>
  <si>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</si>
  <si>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</si>
  <si>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</si>
  <si>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</si>
  <si>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</si>
  <si>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</si>
  <si>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</si>
  <si>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</si>
  <si>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</si>
  <si>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</si>
  <si>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</si>
  <si>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</si>
  <si>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</si>
  <si>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</si>
  <si>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</si>
  <si>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</si>
  <si>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</si>
  <si>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</si>
  <si>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</si>
  <si>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</si>
  <si>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</si>
  <si>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</si>
  <si>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</si>
  <si>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</si>
  <si>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</si>
  <si>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</si>
  <si>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</si>
  <si>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</si>
  <si>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</si>
  <si>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</si>
  <si>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</si>
  <si>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</si>
  <si>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</si>
  <si>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</si>
  <si>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</si>
  <si>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</si>
  <si>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</si>
  <si>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</si>
  <si>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</si>
  <si>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</si>
  <si>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</si>
  <si>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</si>
  <si>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</si>
  <si>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</si>
  <si>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</si>
  <si>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</si>
  <si>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</si>
  <si>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</si>
  <si>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</si>
  <si>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</si>
  <si>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</si>
  <si>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</si>
  <si>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</si>
  <si>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</si>
  <si>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</si>
  <si>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</si>
  <si>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</si>
  <si>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</si>
  <si>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</si>
  <si>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</si>
  <si>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</si>
  <si>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</si>
  <si>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</si>
  <si>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</si>
  <si>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</si>
  <si>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</si>
  <si>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</si>
  <si>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</si>
  <si>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</si>
  <si>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</si>
  <si>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</si>
  <si>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</si>
  <si>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</si>
  <si>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</si>
  <si>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</si>
  <si>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</si>
  <si>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</si>
  <si>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</si>
  <si>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</si>
  <si>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</si>
  <si>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</si>
  <si>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</si>
  <si>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</si>
  <si>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</si>
  <si>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</si>
  <si>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</si>
  <si>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</si>
  <si>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</si>
  <si>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</si>
  <si>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</si>
  <si>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</si>
  <si>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</si>
  <si>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</si>
  <si>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</si>
  <si>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</si>
  <si>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</si>
  <si>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</si>
  <si>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抵押</t>
  </si>
  <si>
    <t>房地产抵押价值</t>
  </si>
  <si>
    <t>其他：</t>
  </si>
  <si>
    <t>企业</t>
  </si>
  <si>
    <t>出让</t>
  </si>
  <si>
    <t>正常</t>
  </si>
  <si>
    <t>押一</t>
  </si>
  <si>
    <t>郑燚</t>
  </si>
  <si>
    <t>王鹏</t>
  </si>
  <si>
    <t>准信智慧消防股份有限公司</t>
    <phoneticPr fontId="6" type="noConversion"/>
  </si>
  <si>
    <t>中国银行</t>
    <phoneticPr fontId="6" type="noConversion"/>
  </si>
  <si>
    <r>
      <rPr>
        <sz val="12"/>
        <color theme="9" tint="-0.249977111117893"/>
        <rFont val="宋体"/>
        <family val="3"/>
        <charset val="134"/>
      </rPr>
      <t>西城区西直门外大街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17</t>
    </r>
    <r>
      <rPr>
        <sz val="12"/>
        <color theme="9" tint="-0.249977111117893"/>
        <rFont val="宋体"/>
        <family val="3"/>
        <charset val="134"/>
      </rPr>
      <t>层</t>
    </r>
    <r>
      <rPr>
        <sz val="12"/>
        <color theme="9" tint="-0.249977111117893"/>
        <rFont val="Arial"/>
        <family val="2"/>
      </rPr>
      <t>19C5-19C13</t>
    </r>
    <phoneticPr fontId="6" type="noConversion"/>
  </si>
  <si>
    <t>办公</t>
    <phoneticPr fontId="6" type="noConversion"/>
  </si>
  <si>
    <t>复印件</t>
  </si>
  <si>
    <t>《不动产权证书》</t>
  </si>
  <si>
    <t>办公项目</t>
  </si>
  <si>
    <t>无</t>
  </si>
  <si>
    <t>否</t>
  </si>
  <si>
    <t>通路</t>
  </si>
  <si>
    <t>通电</t>
  </si>
  <si>
    <t>通上水</t>
  </si>
  <si>
    <t>通下水</t>
  </si>
  <si>
    <t>通讯</t>
  </si>
  <si>
    <t>现房</t>
  </si>
  <si>
    <t>不动产权证书</t>
  </si>
  <si>
    <t>17层19C5</t>
  </si>
  <si>
    <t>京（2017）西不动产权第0026867号</t>
  </si>
  <si>
    <t>17层19C6</t>
  </si>
  <si>
    <t>京（2017）西不动产权第0026868号</t>
  </si>
  <si>
    <t>17层19C7</t>
  </si>
  <si>
    <t>京（2017）西不动产权第0026869号</t>
  </si>
  <si>
    <t>17层19C8</t>
  </si>
  <si>
    <t>京（2017）西不动产权第0026870号</t>
  </si>
  <si>
    <t>17层19C9</t>
  </si>
  <si>
    <t>京（2017）西不动产权第0026871号</t>
  </si>
  <si>
    <t>17层19C10</t>
  </si>
  <si>
    <t>京（2017）西不动产权第0026872号</t>
  </si>
  <si>
    <t>17层19C11</t>
  </si>
  <si>
    <t>京（2017）西不动产权第0026873号</t>
  </si>
  <si>
    <t>17层19C12</t>
  </si>
  <si>
    <t>京（2017）西不动产权第0026874号</t>
  </si>
  <si>
    <t>17层19C13</t>
  </si>
  <si>
    <t>地上</t>
  </si>
  <si>
    <t>办公楼</t>
  </si>
  <si>
    <t>17层19C5</t>
    <phoneticPr fontId="7" type="noConversion"/>
  </si>
  <si>
    <t>其他</t>
    <phoneticPr fontId="7" type="noConversion"/>
  </si>
  <si>
    <t>收益法</t>
  </si>
  <si>
    <t>售价</t>
  </si>
  <si>
    <t>西环广场</t>
  </si>
  <si>
    <t>项目位置</t>
  </si>
  <si>
    <t>办公</t>
    <phoneticPr fontId="3" type="noConversion"/>
  </si>
  <si>
    <t>30-40（含）</t>
  </si>
  <si>
    <t>较好</t>
  </si>
  <si>
    <t>好</t>
  </si>
  <si>
    <t>五通</t>
  </si>
  <si>
    <t>高速路</t>
  </si>
  <si>
    <t>快速路</t>
  </si>
  <si>
    <t>主干道</t>
  </si>
  <si>
    <t>次干道</t>
  </si>
  <si>
    <t>支路</t>
  </si>
  <si>
    <t>高区</t>
  </si>
  <si>
    <t>中区</t>
  </si>
  <si>
    <t>低区</t>
  </si>
  <si>
    <t>高层</t>
  </si>
  <si>
    <t>钢混</t>
  </si>
  <si>
    <t>精装修</t>
  </si>
  <si>
    <t>甲级</t>
  </si>
  <si>
    <t>专业</t>
  </si>
  <si>
    <t>标准层高</t>
  </si>
  <si>
    <t>100-200</t>
  </si>
  <si>
    <t>非生产用房</t>
  </si>
  <si>
    <t>比较法-办公</t>
  </si>
  <si>
    <r>
      <rPr>
        <sz val="10"/>
        <color indexed="8"/>
        <rFont val="宋体"/>
        <family val="3"/>
        <charset val="134"/>
      </rPr>
      <t>京（</t>
    </r>
    <r>
      <rPr>
        <sz val="10"/>
        <color indexed="8"/>
        <rFont val="Arial"/>
        <family val="2"/>
      </rPr>
      <t>2017</t>
    </r>
    <r>
      <rPr>
        <sz val="10"/>
        <color indexed="8"/>
        <rFont val="宋体"/>
        <family val="3"/>
        <charset val="134"/>
      </rPr>
      <t>）西不动产权第</t>
    </r>
    <r>
      <rPr>
        <sz val="10"/>
        <color indexed="8"/>
        <rFont val="Arial"/>
        <family val="2"/>
      </rPr>
      <t>0026866</t>
    </r>
    <r>
      <rPr>
        <sz val="10"/>
        <color indexed="8"/>
        <rFont val="宋体"/>
        <family val="3"/>
        <charset val="134"/>
      </rPr>
      <t>号</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</si>
</sst>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256" fillId="5" borderId="1"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22" fillId="0" borderId="51"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西城区西直门外大街1号院2号楼17层19C5-19C13房地产抵押价值预评估</v>
      </c>
    </row>
    <row r="3" spans="1:2" s="1596" customFormat="1">
      <c r="A3" s="1594" t="s">
        <v>1222</v>
      </c>
      <c r="B3" s="1595" t="str">
        <f>'预评函-封皮'!B40</f>
        <v>准信智慧消防股份有限公司</v>
      </c>
    </row>
    <row r="4" spans="1:2" s="1596" customFormat="1">
      <c r="A4" s="1594" t="s">
        <v>1223</v>
      </c>
      <c r="B4" s="1595" t="str">
        <f ca="1">'预评函-封皮'!B46</f>
        <v>郑燚（注册号：1120070131)、王鹏（注册号：1120050019)</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受贵公司委托，我公司对西城区西直门外大街1号院2号楼17层19C5-19C13房地产抵押价值进行了预评估。</v>
      </c>
    </row>
    <row r="7" spans="1:2" s="1596" customFormat="1">
      <c r="A7" s="1594" t="s">
        <v>1265</v>
      </c>
      <c r="B7" s="1595" t="str">
        <f>'预评函-1'!A7</f>
        <v>估价对象为西城区西直门外大街1号院2号楼17层19C5-19C13房地产，为准信智慧消防股份有限公司所有。根据，估价对象（分摊）出让国有建设用地使用权面积为0平方米，建筑面积为1141.77平方米。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西城区西直门外大街1号院2号楼17层19C5-19C13房地产,属准信智慧消防股份有限公司开发建设的办公项目，该项目尚在开发建设中。根据，估价对象（分摊）出让国有建设用地使用权面积为0平方米，规划建筑面积为1141.77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为估价委托人在向中国银行办理贷款手续过程中，确定房地产抵押贷款额度提供参考依据而评估房地产抵押价值。</v>
      </c>
    </row>
    <row r="12" spans="1:2" s="1596" customFormat="1">
      <c r="A12" s="1594" t="s">
        <v>1227</v>
      </c>
      <c r="B12" s="1595" t="str">
        <f>'预评函-1'!A15</f>
        <v>2018年1月2日（评估专业人员实地查勘之日）</v>
      </c>
    </row>
    <row r="13" spans="1:2" s="1596" customFormat="1">
      <c r="A13" s="1594" t="s">
        <v>1228</v>
      </c>
      <c r="B13" s="1595" t="str">
        <f>'预评函-1'!A18</f>
        <v>本次估价的“房地产价值”是指在正常市场情况下，在价值时点2018年1月2日，估价对象规划用途为办公，土地取得方式为出让，出让国有建设用地使用权剩余土地使用年限为，假定未设立法定优先受偿款下的房地产市场价值。</v>
      </c>
    </row>
    <row r="14" spans="1:2" s="1596" customFormat="1">
      <c r="A14" s="1594" t="s">
        <v>1229</v>
      </c>
      <c r="B14" s="1595" t="str">
        <f>'预评函-1'!A19</f>
        <v>其中，“出让国有建设用地使用权价值”是指估价对象用途为办公，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本次评估采用的主估价方法为比较法和收益法。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483</v>
      </c>
    </row>
    <row r="21" spans="1:2" s="1596" customFormat="1">
      <c r="A21" s="1594" t="s">
        <v>1236</v>
      </c>
      <c r="B21" s="1595">
        <f ca="1">'预评函-2'!D7</f>
        <v>4230</v>
      </c>
    </row>
    <row r="22" spans="1:2" s="1596" customFormat="1">
      <c r="A22" s="1594" t="s">
        <v>1237</v>
      </c>
      <c r="B22" s="1595" t="str">
        <f ca="1">'预评函-2'!D6</f>
        <v>肆佰捌拾叁万元整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483</v>
      </c>
    </row>
    <row r="31" spans="1:2" s="1596" customFormat="1">
      <c r="A31" s="1594" t="s">
        <v>1275</v>
      </c>
      <c r="B31" s="1595">
        <f ca="1">'预评函-2'!D15</f>
        <v>4230</v>
      </c>
    </row>
    <row r="32" spans="1:2" s="1596" customFormat="1">
      <c r="A32" s="1594" t="s">
        <v>1242</v>
      </c>
      <c r="B32" s="1595" t="str">
        <f ca="1">'预评函-2'!D14</f>
        <v>肆佰捌拾叁万元整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西城区西直门外大街1号院2号楼17层19C5-19C13房地产</v>
      </c>
    </row>
    <row r="42" spans="1:2" s="1596" customFormat="1">
      <c r="A42" s="1594" t="s">
        <v>1289</v>
      </c>
      <c r="B42" s="1595" t="str">
        <f>'预评函-3'!B2</f>
        <v>建筑面积</v>
      </c>
    </row>
    <row r="43" spans="1:2" s="1596" customFormat="1">
      <c r="A43" s="1594" t="s">
        <v>1290</v>
      </c>
      <c r="B43" s="1595">
        <f>'预评函-3'!B4</f>
        <v>1141.77</v>
      </c>
    </row>
    <row r="44" spans="1:2" s="1596" customFormat="1">
      <c r="A44" s="1594" t="s">
        <v>1274</v>
      </c>
      <c r="B44" s="1595" t="str">
        <f>'预评函-3'!C2</f>
        <v>(分摊)土地面积</v>
      </c>
    </row>
    <row r="45" spans="1:2" s="1596" customFormat="1">
      <c r="A45" s="1594" t="s">
        <v>1246</v>
      </c>
      <c r="B45" s="1595">
        <f>'预评函-3'!C4</f>
        <v>0</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（1）根据估价对象《不动产权证书》复印件、，截至价值时点，估价对象已设定抵押。上述抵押权设定日期为，权利人为，权利范围为，权利价值为。</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郑燚</v>
      </c>
    </row>
    <row r="71" spans="1:2">
      <c r="A71" s="1594" t="s">
        <v>1262</v>
      </c>
      <c r="B71" s="1595">
        <f ca="1">'预评函-4'!B4</f>
        <v>1120070131</v>
      </c>
    </row>
    <row r="72" spans="1:2">
      <c r="A72" s="1594" t="s">
        <v>1263</v>
      </c>
      <c r="B72" s="1603" t="str">
        <f>'预评函-4'!A5</f>
        <v>王鹏</v>
      </c>
    </row>
    <row r="73" spans="1:2" s="1590" customFormat="1" ht="15" thickBot="1">
      <c r="A73" s="1597" t="s">
        <v>1264</v>
      </c>
      <c r="B73" s="1598">
        <f ca="1">'预评函-4'!B5</f>
        <v>1120050019</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299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91"/>
      <c r="B54" s="2025" t="s">
        <v>864</v>
      </c>
      <c r="C54" s="2022" t="s">
        <v>1282</v>
      </c>
    </row>
    <row r="55" spans="1:4">
      <c r="A55" s="2991"/>
      <c r="B55" s="2025" t="s">
        <v>865</v>
      </c>
      <c r="C55" s="2022" t="s">
        <v>1283</v>
      </c>
    </row>
    <row r="56" spans="1:4">
      <c r="A56" s="2991"/>
      <c r="B56" s="2025" t="s">
        <v>866</v>
      </c>
      <c r="C56" s="2022" t="s">
        <v>1287</v>
      </c>
    </row>
    <row r="57" spans="1:4">
      <c r="A57" s="2991"/>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1778</v>
      </c>
      <c r="B1" s="2992" t="str">
        <f>IF(B10="北京市","北京市",C10)&amp;F10&amp;IF(结果表!G1="在建","出让国有建设用地使用权及在建建筑物",IF(结果表!G1="土地","出让国有建设用地使用权",))&amp;B9&amp;"预评估"</f>
        <v>西城区西直门外大街1号院2号楼17层19C5-19C13房地产抵押价值预评估</v>
      </c>
      <c r="C1" s="2993"/>
      <c r="D1" s="2993"/>
      <c r="E1" s="2993"/>
      <c r="F1" s="2993"/>
      <c r="G1" s="2993"/>
      <c r="H1" s="2993"/>
      <c r="I1" s="299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西城区西直门外大街1号院2号楼17层19C5-19C13房地产抵押价值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西城区西直门外大街1号院2号楼17层19C5-19C13房地产</v>
      </c>
    </row>
    <row r="3" spans="1:19" ht="18" customHeight="1">
      <c r="A3" s="2038" t="s">
        <v>1780</v>
      </c>
      <c r="B3" s="2039">
        <v>43102</v>
      </c>
      <c r="C3" s="2040" t="s">
        <v>1781</v>
      </c>
      <c r="D3" s="2039">
        <f>B3</f>
        <v>43102</v>
      </c>
      <c r="E3" s="2029"/>
      <c r="F3" s="2029"/>
      <c r="G3" s="2029"/>
      <c r="H3" s="2029"/>
      <c r="I3" s="2029"/>
      <c r="J3" s="2029"/>
      <c r="K3" s="2030"/>
      <c r="L3" s="2031"/>
      <c r="M3" s="2031"/>
      <c r="N3" s="2032"/>
      <c r="O3" s="2033"/>
      <c r="P3" s="2032"/>
      <c r="Q3" s="2032"/>
      <c r="R3" s="2032"/>
      <c r="S3" s="2034"/>
    </row>
    <row r="4" spans="1:19" ht="18" customHeight="1" thickBot="1">
      <c r="A4" s="2041" t="s">
        <v>1782</v>
      </c>
      <c r="B4" s="2042" t="s">
        <v>3052</v>
      </c>
      <c r="C4" s="1039">
        <f ca="1">SUMIF(注册房地产估价师,B4,估价师及机构信息!B3:B24)</f>
        <v>1120070131</v>
      </c>
      <c r="D4" s="2042" t="s">
        <v>3053</v>
      </c>
      <c r="E4" s="1040">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1783</v>
      </c>
      <c r="B5" s="3272" t="s">
        <v>3054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3273" t="s">
        <v>3055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054"/>
      <c r="C7" s="2051"/>
      <c r="D7" s="2052"/>
      <c r="E7" s="2037"/>
      <c r="F7" s="2045"/>
      <c r="G7" s="2045"/>
      <c r="H7" s="2045"/>
      <c r="I7" s="2045"/>
      <c r="J7" s="2045"/>
      <c r="K7" s="2055"/>
      <c r="L7" s="2031"/>
      <c r="M7" s="2031"/>
      <c r="N7" s="2032"/>
      <c r="O7" s="2033"/>
      <c r="P7" s="2032"/>
      <c r="Q7" s="2032"/>
      <c r="R7" s="2032"/>
    </row>
    <row r="8" spans="1:19" ht="18" customHeight="1">
      <c r="A8" s="2050" t="s">
        <v>1786</v>
      </c>
      <c r="B8" s="2056" t="s">
        <v>3045</v>
      </c>
      <c r="C8" s="2057"/>
      <c r="D8" s="2995" t="s">
        <v>1787</v>
      </c>
      <c r="E8" s="2058" t="s">
        <v>3046</v>
      </c>
      <c r="F8" s="2059"/>
      <c r="G8" s="2029"/>
      <c r="H8" s="2029"/>
      <c r="I8" s="2029"/>
      <c r="J8" s="2045"/>
      <c r="K8" s="2046"/>
      <c r="L8" s="2031"/>
      <c r="M8" s="2031"/>
      <c r="N8" s="2032"/>
      <c r="O8" s="2033"/>
      <c r="P8" s="2032"/>
      <c r="Q8" s="2032"/>
      <c r="R8" s="2032"/>
    </row>
    <row r="9" spans="1:19" ht="18" customHeight="1" thickBot="1">
      <c r="A9" s="2043" t="s">
        <v>1788</v>
      </c>
      <c r="B9" s="2060" t="s">
        <v>3046</v>
      </c>
      <c r="C9" s="2061"/>
      <c r="D9" s="2996"/>
      <c r="E9" s="2060" t="s">
        <v>70</v>
      </c>
      <c r="F9" s="2062"/>
      <c r="G9" s="2063"/>
      <c r="H9" s="2063"/>
      <c r="I9" s="2063"/>
      <c r="J9" s="2045"/>
      <c r="K9" s="2055"/>
      <c r="L9" s="2031"/>
      <c r="M9" s="2031"/>
      <c r="N9" s="2032"/>
      <c r="O9" s="2033"/>
      <c r="P9" s="2032"/>
      <c r="Q9" s="2032"/>
      <c r="R9" s="2032"/>
    </row>
    <row r="10" spans="1:19" ht="18" customHeight="1" thickTop="1">
      <c r="A10" s="2064" t="s">
        <v>1789</v>
      </c>
      <c r="B10" s="2065" t="s">
        <v>3047</v>
      </c>
      <c r="C10" s="2066"/>
      <c r="D10" s="2049"/>
      <c r="E10" s="2067" t="s">
        <v>1790</v>
      </c>
      <c r="F10" s="2068" t="s">
        <v>3056</v>
      </c>
      <c r="G10" s="2069"/>
      <c r="H10" s="2070"/>
      <c r="I10" s="2049"/>
      <c r="J10" s="2045"/>
      <c r="K10" s="2055"/>
      <c r="L10" s="2031"/>
      <c r="M10" s="2031"/>
      <c r="N10" s="2032"/>
      <c r="O10" s="2033"/>
      <c r="P10" s="2032"/>
      <c r="Q10" s="2032"/>
      <c r="R10" s="2032"/>
    </row>
    <row r="11" spans="1:19" ht="18" customHeight="1">
      <c r="A11" s="2071" t="s">
        <v>1791</v>
      </c>
      <c r="B11" s="2072" t="s">
        <v>3048</v>
      </c>
      <c r="C11" s="3274" t="s">
        <v>3054</v>
      </c>
      <c r="D11" s="2073"/>
      <c r="E11" s="2045"/>
      <c r="F11" s="2045"/>
      <c r="G11" s="2045"/>
      <c r="H11" s="2045"/>
      <c r="I11" s="2045"/>
      <c r="J11" s="2045"/>
      <c r="K11" s="2055"/>
      <c r="L11" s="2031"/>
      <c r="M11" s="2031"/>
      <c r="N11" s="2032"/>
      <c r="O11" s="2033"/>
      <c r="P11" s="2032"/>
      <c r="Q11" s="2032"/>
      <c r="R11" s="2032"/>
    </row>
    <row r="12" spans="1:19" ht="18" customHeight="1">
      <c r="A12" s="2074" t="s">
        <v>1792</v>
      </c>
      <c r="B12" s="2072" t="s">
        <v>3049</v>
      </c>
      <c r="C12" s="2075" t="s">
        <v>1793</v>
      </c>
      <c r="D12" s="2076" t="s">
        <v>1794</v>
      </c>
      <c r="E12" s="2076" t="s">
        <v>1795</v>
      </c>
      <c r="F12" s="2076" t="s">
        <v>1796</v>
      </c>
      <c r="G12" s="2076" t="s">
        <v>1797</v>
      </c>
      <c r="H12" s="2076" t="s">
        <v>1798</v>
      </c>
      <c r="I12" s="2076" t="s">
        <v>1799</v>
      </c>
      <c r="J12" s="2045"/>
      <c r="K12" s="2055"/>
      <c r="L12" s="2031"/>
      <c r="M12" s="2031"/>
      <c r="N12" s="2032"/>
      <c r="O12" s="2033"/>
      <c r="P12" s="2032"/>
      <c r="Q12" s="2032"/>
      <c r="R12" s="2032"/>
    </row>
    <row r="13" spans="1:19" ht="18" customHeight="1">
      <c r="A13" s="2077"/>
      <c r="B13" s="2078"/>
      <c r="C13" s="2079" t="s">
        <v>1800</v>
      </c>
      <c r="D13" s="2080"/>
      <c r="E13" s="2080"/>
      <c r="F13" s="2080">
        <v>56484</v>
      </c>
      <c r="G13" s="2080"/>
      <c r="H13" s="2080"/>
      <c r="I13" s="1049"/>
      <c r="J13" s="2045"/>
      <c r="K13" s="2055"/>
      <c r="L13" s="2031"/>
      <c r="M13" s="2031"/>
      <c r="N13" s="2032"/>
      <c r="O13" s="2033"/>
      <c r="P13" s="2032"/>
      <c r="Q13" s="2032"/>
      <c r="R13" s="2032"/>
    </row>
    <row r="14" spans="1:19" ht="18" customHeight="1">
      <c r="A14" s="2077"/>
      <c r="B14" s="2078"/>
      <c r="C14" s="2079" t="s">
        <v>1801</v>
      </c>
      <c r="D14" s="1052"/>
      <c r="E14" s="1052"/>
      <c r="F14" s="1052">
        <v>50</v>
      </c>
      <c r="G14" s="1052"/>
      <c r="H14" s="1052"/>
      <c r="I14" s="1052"/>
      <c r="J14" s="2045"/>
      <c r="K14" s="2081"/>
      <c r="L14" s="2031"/>
      <c r="M14" s="2031"/>
      <c r="N14" s="2032"/>
      <c r="O14" s="2033"/>
      <c r="P14" s="2032"/>
      <c r="Q14" s="2032"/>
      <c r="R14" s="2032"/>
    </row>
    <row r="15" spans="1:19" ht="18" customHeight="1">
      <c r="A15" s="2064"/>
      <c r="B15" s="2082"/>
      <c r="C15" s="2079" t="s">
        <v>1802</v>
      </c>
      <c r="D15" s="1051" t="str">
        <f>IF(B12="出让",IF(D13="","",ROUNDDOWN(MIN((D13-$D$3)/365,D14),2)),D14)</f>
        <v/>
      </c>
      <c r="E15" s="1051" t="str">
        <f>IF(B12="出让",IF(E13="","",ROUNDDOWN(MIN((E13-$D$3)/365,E14),2)),E14)</f>
        <v/>
      </c>
      <c r="F15" s="1051">
        <f>IF(B12="出让",IF(F13="","",ROUNDDOWN(MIN((F13-$D$3)/365,F14),2)),F14)</f>
        <v>36.659999999999997</v>
      </c>
      <c r="G15" s="1051" t="str">
        <f>IF(B12="出让",IF(G13="","",ROUNDDOWN(MIN((G13-$D$3)/365,G14),2)),G14)</f>
        <v/>
      </c>
      <c r="H15" s="1051" t="str">
        <f>IF(B12="出让",IF(H13="","",ROUNDDOWN(MIN((H13-$D$3)/365,H14),2)),H14)</f>
        <v/>
      </c>
      <c r="I15" s="1051" t="str">
        <f>IF(B12="出让",IF(I13="","",ROUNDDOWN(MIN((I13-$D$3)/365,I14),2)),I14)</f>
        <v/>
      </c>
      <c r="J15" s="2045"/>
      <c r="K15" s="2083"/>
      <c r="L15" s="2084"/>
      <c r="M15" s="2084"/>
      <c r="N15" s="2085"/>
      <c r="O15" s="2084"/>
      <c r="P15" s="2085"/>
      <c r="Q15" s="2032"/>
      <c r="R15" s="2032"/>
    </row>
    <row r="16" spans="1:19" ht="30.75" customHeight="1">
      <c r="A16" s="2067" t="s">
        <v>1803</v>
      </c>
      <c r="B16" s="3275" t="s">
        <v>3057</v>
      </c>
      <c r="C16" s="3002"/>
      <c r="D16" s="3003"/>
      <c r="E16" s="2086" t="s">
        <v>1804</v>
      </c>
      <c r="F16" s="3004"/>
      <c r="G16" s="3005"/>
      <c r="H16" s="3005"/>
      <c r="I16" s="3006"/>
      <c r="J16" s="2032"/>
      <c r="K16" s="2083"/>
      <c r="L16" s="2084"/>
      <c r="M16" s="2084"/>
      <c r="N16" s="2085"/>
      <c r="O16" s="2084"/>
      <c r="P16" s="2085"/>
      <c r="Q16" s="2032"/>
      <c r="R16" s="2032"/>
    </row>
    <row r="17" spans="1:22" ht="18" customHeight="1">
      <c r="A17" s="2087" t="s">
        <v>1805</v>
      </c>
      <c r="B17" s="2038" t="s">
        <v>1806</v>
      </c>
      <c r="C17" s="1056">
        <f>'数据-汇总表'!E3</f>
        <v>1141.77</v>
      </c>
      <c r="D17" s="2088" t="s">
        <v>1807</v>
      </c>
      <c r="E17" s="3007"/>
      <c r="F17" s="3008"/>
      <c r="G17" s="3008"/>
      <c r="H17" s="3008"/>
      <c r="I17" s="3009"/>
      <c r="J17" s="2032"/>
      <c r="K17" s="2089"/>
      <c r="L17" s="2084"/>
      <c r="M17" s="2084"/>
      <c r="N17" s="2085"/>
      <c r="O17" s="2084"/>
      <c r="P17" s="2085"/>
      <c r="Q17" s="2032"/>
      <c r="R17" s="2032"/>
      <c r="S17" s="2032"/>
      <c r="T17" s="2032"/>
      <c r="U17" s="2032"/>
      <c r="V17" s="2032"/>
    </row>
    <row r="18" spans="1:22" ht="36" customHeight="1" thickBot="1">
      <c r="A18" s="2090" t="s">
        <v>1808</v>
      </c>
      <c r="B18" s="2041" t="s">
        <v>1809</v>
      </c>
      <c r="C18" s="1446">
        <f>'数据-汇总表'!D3</f>
        <v>0</v>
      </c>
      <c r="D18" s="2091" t="s">
        <v>1807</v>
      </c>
      <c r="E18" s="3010"/>
      <c r="F18" s="3011"/>
      <c r="G18" s="3011"/>
      <c r="H18" s="3011"/>
      <c r="I18" s="3012"/>
      <c r="J18" s="2032"/>
      <c r="K18" s="2089"/>
      <c r="L18" s="2084"/>
      <c r="M18" s="2084"/>
      <c r="N18" s="2085"/>
      <c r="O18" s="2084"/>
      <c r="P18" s="2085"/>
      <c r="Q18" s="2032"/>
      <c r="R18" s="2032"/>
      <c r="S18" s="2032"/>
      <c r="T18" s="2032"/>
      <c r="U18" s="2032"/>
      <c r="V18" s="2032"/>
    </row>
    <row r="19" spans="1:22" ht="37.5" customHeight="1" thickTop="1" thickBot="1">
      <c r="A19" s="373" t="s">
        <v>1810</v>
      </c>
      <c r="B19" s="352" t="s">
        <v>1811</v>
      </c>
      <c r="C19" s="2092" t="s">
        <v>3042</v>
      </c>
      <c r="D19" s="2093" t="s">
        <v>1812</v>
      </c>
      <c r="E19" s="2094" t="s">
        <v>3042</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1813</v>
      </c>
      <c r="B20" s="2998" t="s">
        <v>1814</v>
      </c>
      <c r="C20" s="2999"/>
      <c r="D20" s="3000" t="s">
        <v>1815</v>
      </c>
      <c r="E20" s="3001"/>
      <c r="F20" s="2098" t="s">
        <v>1816</v>
      </c>
      <c r="G20" s="2045"/>
      <c r="H20" s="2045"/>
      <c r="I20" s="2045"/>
      <c r="J20" s="2045"/>
      <c r="K20" s="2997" t="s">
        <v>1817</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1"/>
      <c r="N20" s="2085"/>
      <c r="O20" s="2084"/>
      <c r="P20" s="2085"/>
      <c r="Q20" s="2032"/>
      <c r="R20" s="2032"/>
      <c r="S20" s="2032"/>
      <c r="T20" s="2032"/>
      <c r="U20" s="2032"/>
      <c r="V20" s="2032"/>
    </row>
    <row r="21" spans="1:22" ht="24.75" customHeight="1">
      <c r="A21" s="2097"/>
      <c r="B21" s="2099" t="s">
        <v>3059</v>
      </c>
      <c r="C21" s="2100" t="s">
        <v>3058</v>
      </c>
      <c r="D21" s="2101"/>
      <c r="E21" s="2102"/>
      <c r="F21" s="2103"/>
      <c r="G21" s="2045"/>
      <c r="H21" s="2045"/>
      <c r="I21" s="2045"/>
      <c r="J21" s="2045"/>
      <c r="K21" s="299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5"/>
      <c r="O21" s="2084"/>
      <c r="P21" s="2085"/>
      <c r="Q21" s="2032"/>
      <c r="R21" s="2032"/>
      <c r="S21" s="2032"/>
      <c r="T21" s="2032"/>
      <c r="U21" s="2032"/>
      <c r="V21" s="2032"/>
    </row>
    <row r="22" spans="1:22" ht="24.75" customHeight="1" thickBot="1">
      <c r="A22" s="2097"/>
      <c r="B22" s="2104"/>
      <c r="C22" s="2100"/>
      <c r="D22" s="2029"/>
      <c r="E22" s="2029"/>
      <c r="F22" s="2105"/>
      <c r="G22" s="2045"/>
      <c r="H22" s="2045"/>
      <c r="I22" s="2045"/>
      <c r="J22" s="2045"/>
      <c r="K22" s="299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14" t="s">
        <v>1824</v>
      </c>
      <c r="B27" s="2064" t="s">
        <v>1825</v>
      </c>
      <c r="C27" s="2120" t="s">
        <v>3060</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4"/>
      <c r="B28" s="2038" t="s">
        <v>1826</v>
      </c>
      <c r="C28" s="2122" t="s">
        <v>3061</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4"/>
      <c r="B29" s="2038" t="s">
        <v>1827</v>
      </c>
      <c r="C29" s="2125" t="s">
        <v>3062</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5"/>
      <c r="B30" s="2038" t="s">
        <v>1828</v>
      </c>
      <c r="C30" s="3016"/>
      <c r="D30" s="3017"/>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8" t="s">
        <v>1829</v>
      </c>
      <c r="B31" s="3277" t="s">
        <v>3068</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19"/>
      <c r="B32" s="3277" t="s">
        <v>3068</v>
      </c>
      <c r="C32" s="2127" t="str">
        <f>IF(B32="现房","成新及维护状况是否正常",IF(B32="在建","工程状态是否正常",IF(B32="土地","是否闲置","-")))</f>
        <v>成新及维护状况是否正常</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19"/>
      <c r="B33" s="2130"/>
      <c r="C33" s="2071"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3276" t="s">
        <v>3063</v>
      </c>
      <c r="C34" s="3276" t="s">
        <v>3064</v>
      </c>
      <c r="D34" s="3276" t="s">
        <v>3065</v>
      </c>
      <c r="E34" s="3276" t="s">
        <v>3066</v>
      </c>
      <c r="F34" s="3276" t="s">
        <v>3067</v>
      </c>
      <c r="G34" s="3276" t="s">
        <v>70</v>
      </c>
      <c r="H34" s="3276" t="s">
        <v>70</v>
      </c>
      <c r="I34" s="2045"/>
      <c r="J34" s="2045"/>
      <c r="K34" s="1798">
        <f>COUNTIF(B34:H34,"——")</f>
        <v>2</v>
      </c>
      <c r="L34" s="2075" t="s">
        <v>1831</v>
      </c>
      <c r="M34" s="2075" t="s">
        <v>1832</v>
      </c>
      <c r="N34" s="2075" t="s">
        <v>1833</v>
      </c>
      <c r="O34" s="2075" t="s">
        <v>1834</v>
      </c>
      <c r="P34" s="2075" t="s">
        <v>1835</v>
      </c>
      <c r="Q34" s="2075" t="s">
        <v>1836</v>
      </c>
      <c r="R34" s="2075" t="s">
        <v>1837</v>
      </c>
      <c r="S34" s="3013" t="s">
        <v>1838</v>
      </c>
      <c r="T34" s="2133" t="str">
        <f>NUMBERSTRING(7-K34,1)&amp;"通"</f>
        <v>五通</v>
      </c>
      <c r="U34" s="2032"/>
      <c r="V34" s="2032"/>
    </row>
    <row r="35" spans="1:22" ht="18" customHeight="1">
      <c r="A35" s="2134"/>
      <c r="B35" s="3020" t="s">
        <v>1839</v>
      </c>
      <c r="C35" s="3020"/>
      <c r="D35" s="3020"/>
      <c r="E35" s="3020"/>
      <c r="F35" s="2135">
        <f>C10</f>
        <v>0</v>
      </c>
      <c r="G35" s="2045"/>
      <c r="H35" s="2045"/>
      <c r="I35" s="2045"/>
      <c r="J35" s="2045"/>
      <c r="K35" s="2075"/>
      <c r="L35" s="2075"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13"/>
      <c r="T35" s="48" t="str">
        <f>IF(T34="一通",L35,IF(T34="二通",M35,IF(T34="三通",N35,IF(T34="四通",O35,IF(T34="五通",P35,IF(T34="六通",Q35,R35))))))</f>
        <v>通路、通电、通上水、通下水、通讯</v>
      </c>
      <c r="U35" s="2032"/>
      <c r="V35" s="2032"/>
    </row>
    <row r="36" spans="1:22" ht="18" customHeight="1">
      <c r="A36" s="2136"/>
      <c r="B36" s="2135" t="s">
        <v>1840</v>
      </c>
      <c r="C36" s="2135" t="s">
        <v>1841</v>
      </c>
      <c r="D36" s="2135" t="s">
        <v>1842</v>
      </c>
      <c r="E36" s="2135" t="s">
        <v>1843</v>
      </c>
      <c r="F36" s="2137"/>
      <c r="G36" s="2045"/>
      <c r="H36" s="2045"/>
      <c r="I36" s="2045"/>
      <c r="J36" s="2045"/>
      <c r="K36" s="2055"/>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5"/>
      <c r="K40" s="666"/>
      <c r="L40" s="2084"/>
      <c r="M40" s="2084"/>
      <c r="N40" s="2085"/>
      <c r="O40" s="2084"/>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1"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1871</v>
      </c>
      <c r="AZ2" s="1272"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1141.77</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6"/>
      <c r="C5" s="1806"/>
      <c r="D5" s="1809"/>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10" t="s">
        <v>1877</v>
      </c>
      <c r="B7" s="2110" t="s">
        <v>1878</v>
      </c>
      <c r="C7" s="2110" t="s">
        <v>1879</v>
      </c>
      <c r="D7" s="2110" t="s">
        <v>1880</v>
      </c>
      <c r="E7" s="2110" t="s">
        <v>1881</v>
      </c>
      <c r="F7" s="2110"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1884</v>
      </c>
      <c r="AV7" s="23" t="s">
        <v>1885</v>
      </c>
      <c r="AW7" s="2165" t="s">
        <v>1886</v>
      </c>
      <c r="AX7" s="23" t="s">
        <v>1879</v>
      </c>
      <c r="AY7" s="1806"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1"/>
      <c r="K8" s="1821"/>
      <c r="L8" s="1821"/>
      <c r="M8" s="1821"/>
      <c r="N8" s="1821"/>
      <c r="O8" s="1821"/>
      <c r="P8" s="1821"/>
      <c r="Q8" s="1821"/>
      <c r="R8" s="1821"/>
      <c r="S8" s="1821"/>
      <c r="T8" s="1821"/>
      <c r="U8" s="1821"/>
      <c r="V8" s="2185"/>
      <c r="W8" s="1821"/>
      <c r="X8" s="1821"/>
      <c r="Y8" s="1821"/>
      <c r="Z8" s="1821"/>
      <c r="AA8" s="2185"/>
      <c r="AB8" s="2186"/>
      <c r="AC8" s="983" t="s">
        <v>1890</v>
      </c>
      <c r="AD8" s="2187"/>
      <c r="AE8" s="2179"/>
      <c r="AF8" s="1821"/>
      <c r="AG8" s="1821"/>
      <c r="AH8" s="1821"/>
      <c r="AI8" s="1821"/>
      <c r="AJ8" s="1821"/>
      <c r="AK8" s="1821"/>
      <c r="AL8" s="1821"/>
      <c r="AM8" s="1821"/>
      <c r="AN8" s="1821"/>
      <c r="AO8" s="1821"/>
      <c r="AP8" s="1821"/>
      <c r="AQ8" s="1821"/>
      <c r="AR8" s="1821"/>
      <c r="AS8" s="1821"/>
      <c r="AT8" s="1294" t="s">
        <v>1891</v>
      </c>
      <c r="AU8" s="2181" t="s">
        <v>1892</v>
      </c>
      <c r="AV8" s="1294"/>
      <c r="AW8" s="2164"/>
      <c r="AX8" s="1294"/>
      <c r="AY8" s="2165"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4"/>
      <c r="H9" s="2189" t="s">
        <v>1895</v>
      </c>
      <c r="I9" s="3280" t="s">
        <v>3087</v>
      </c>
      <c r="J9" s="983"/>
      <c r="K9" s="2190"/>
      <c r="L9" s="983"/>
      <c r="M9" s="2190"/>
      <c r="N9" s="983"/>
      <c r="O9" s="2190"/>
      <c r="P9" s="983"/>
      <c r="Q9" s="2190"/>
      <c r="R9" s="983"/>
      <c r="S9" s="2190"/>
      <c r="T9" s="983"/>
      <c r="U9" s="2190"/>
      <c r="V9" s="983"/>
      <c r="W9" s="2190"/>
      <c r="X9" s="2191"/>
      <c r="Y9" s="2190"/>
      <c r="Z9" s="983"/>
      <c r="AA9" s="2190"/>
      <c r="AB9" s="983"/>
      <c r="AC9" s="2182"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2"/>
      <c r="AT9" s="2181"/>
      <c r="AU9" s="2181" t="s">
        <v>1898</v>
      </c>
      <c r="AV9" s="1294"/>
      <c r="AW9" s="2164"/>
      <c r="AX9" s="1294"/>
      <c r="AY9" s="28"/>
      <c r="AZ9" s="28" t="s">
        <v>1888</v>
      </c>
      <c r="BA9" s="2193" t="s">
        <v>1899</v>
      </c>
      <c r="BB9" s="2194"/>
      <c r="BC9" s="1340"/>
      <c r="BD9" s="1340"/>
      <c r="BE9" s="1340"/>
      <c r="BF9" s="1340"/>
      <c r="BG9" s="1340"/>
      <c r="BH9" s="1340"/>
      <c r="BI9" s="1340"/>
      <c r="BJ9" s="1340"/>
      <c r="BK9" s="2195"/>
      <c r="BL9" s="15" t="s">
        <v>1900</v>
      </c>
      <c r="BM9" s="1821"/>
      <c r="BN9" s="2184"/>
      <c r="BO9" s="1821"/>
      <c r="BP9" s="1821"/>
      <c r="BQ9" s="1821"/>
      <c r="BR9" s="1821"/>
      <c r="BS9" s="1821"/>
      <c r="BT9" s="26"/>
    </row>
    <row r="10" spans="1:72" s="2188" customFormat="1" ht="12.75">
      <c r="A10" s="2181"/>
      <c r="B10" s="2181"/>
      <c r="C10" s="2181"/>
      <c r="D10" s="2181"/>
      <c r="E10" s="2181"/>
      <c r="F10" s="2181"/>
      <c r="G10" s="1294"/>
      <c r="H10" s="28"/>
      <c r="I10" s="3280" t="s">
        <v>27</v>
      </c>
      <c r="J10" s="983"/>
      <c r="K10" s="2196"/>
      <c r="L10" s="983"/>
      <c r="M10" s="2196"/>
      <c r="N10" s="983"/>
      <c r="O10" s="2196"/>
      <c r="P10" s="983"/>
      <c r="Q10" s="2196"/>
      <c r="R10" s="983"/>
      <c r="S10" s="2196"/>
      <c r="T10" s="983"/>
      <c r="U10" s="2196"/>
      <c r="V10" s="983"/>
      <c r="W10" s="2196"/>
      <c r="X10" s="983"/>
      <c r="Y10" s="2196"/>
      <c r="Z10" s="983"/>
      <c r="AA10" s="2196"/>
      <c r="AB10" s="983"/>
      <c r="AC10" s="1294"/>
      <c r="AD10" s="15" t="s">
        <v>1901</v>
      </c>
      <c r="AE10" s="2197"/>
      <c r="AF10" s="15" t="s">
        <v>1901</v>
      </c>
      <c r="AG10" s="2197"/>
      <c r="AH10" s="15" t="s">
        <v>1902</v>
      </c>
      <c r="AI10" s="2197"/>
      <c r="AJ10" s="15" t="s">
        <v>1902</v>
      </c>
      <c r="AK10" s="2197"/>
      <c r="AL10" s="15" t="s">
        <v>1903</v>
      </c>
      <c r="AM10" s="1300"/>
      <c r="AN10" s="15" t="s">
        <v>1903</v>
      </c>
      <c r="AO10" s="1300"/>
      <c r="AP10" s="15" t="s">
        <v>1904</v>
      </c>
      <c r="AQ10" s="1300"/>
      <c r="AR10" s="15" t="s">
        <v>1904</v>
      </c>
      <c r="AS10" s="1300"/>
      <c r="AT10" s="2181"/>
      <c r="AU10" s="2181"/>
      <c r="AV10" s="1294"/>
      <c r="AW10" s="2164"/>
      <c r="AX10" s="1294"/>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4"/>
      <c r="H11" s="2198"/>
      <c r="I11" s="3281" t="s">
        <v>3088</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2"/>
      <c r="AF11" s="2203" t="s">
        <v>1905</v>
      </c>
      <c r="AG11" s="1822"/>
      <c r="AH11" s="2203" t="s">
        <v>1906</v>
      </c>
      <c r="AI11" s="2204"/>
      <c r="AJ11" s="2203" t="s">
        <v>1906</v>
      </c>
      <c r="AK11" s="1822"/>
      <c r="AL11" s="1820"/>
      <c r="AM11" s="1822"/>
      <c r="AN11" s="1820"/>
      <c r="AO11" s="1822"/>
      <c r="AP11" s="1820"/>
      <c r="AQ11" s="1822"/>
      <c r="AR11" s="1820"/>
      <c r="AS11" s="1822"/>
      <c r="AT11" s="2164"/>
      <c r="AU11" s="2181"/>
      <c r="AV11" s="1294"/>
      <c r="AW11" s="2164"/>
      <c r="AX11" s="1294"/>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8"/>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4" t="s">
        <v>3117</v>
      </c>
      <c r="B13" s="1274" t="s">
        <v>3069</v>
      </c>
      <c r="C13" s="3278" t="s">
        <v>3070</v>
      </c>
      <c r="D13" s="2947" t="s">
        <v>3043</v>
      </c>
      <c r="E13" s="16">
        <f>IF($C$3="是",ROUND($A$3*G13/$B$3,2),ROUND($A$3*(G13-AT13)/$B$3,2))</f>
        <v>0</v>
      </c>
      <c r="F13" s="32"/>
      <c r="G13" s="33">
        <f>H13+AC13+AT13</f>
        <v>103.53</v>
      </c>
      <c r="H13" s="20">
        <f>SUMIF(I$12:AB$12,"总值",I13:AB13)</f>
        <v>103.53</v>
      </c>
      <c r="I13" s="39">
        <v>103.53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t="str">
        <f t="shared" ref="AV13:AX17" si="6">A13</f>
        <v>京（2017）西不动产权第0026866号</v>
      </c>
      <c r="AW13" s="11" t="str">
        <f t="shared" si="6"/>
        <v>不动产权证书</v>
      </c>
      <c r="AX13" s="11" t="str">
        <f t="shared" si="6"/>
        <v>17层19C5</v>
      </c>
      <c r="AY13" s="1809">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51">
      <c r="A14" s="1274" t="s">
        <v>3071</v>
      </c>
      <c r="B14" s="1274" t="s">
        <v>3069</v>
      </c>
      <c r="C14" s="3278" t="s">
        <v>3072</v>
      </c>
      <c r="D14" s="2947" t="s">
        <v>3043</v>
      </c>
      <c r="E14" s="16">
        <f>IF($C$3="是",ROUND($A$3*G14/$B$3,2),ROUND($A$3*(G14-AT14)/$B$3,2))</f>
        <v>0</v>
      </c>
      <c r="F14" s="32"/>
      <c r="G14" s="33">
        <f>H14+AC14+AT14</f>
        <v>152.62</v>
      </c>
      <c r="H14" s="20">
        <f>SUMIF(I$12:AB$12,"总值",I14:AB14)</f>
        <v>152.62</v>
      </c>
      <c r="I14" s="39">
        <v>152.62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京（2017）西不动产权第0026867号</v>
      </c>
      <c r="AW14" s="11" t="str">
        <f t="shared" si="6"/>
        <v>不动产权证书</v>
      </c>
      <c r="AX14" s="11" t="str">
        <f t="shared" si="6"/>
        <v>17层19C6</v>
      </c>
      <c r="AY14" s="1809">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4" t="s">
        <v>3073</v>
      </c>
      <c r="B15" s="1274" t="s">
        <v>3069</v>
      </c>
      <c r="C15" s="3278" t="s">
        <v>3074</v>
      </c>
      <c r="D15" s="2947" t="s">
        <v>3043</v>
      </c>
      <c r="E15" s="16">
        <f>IF($C$3="是",ROUND($A$3*G15/$B$3,2),ROUND($A$3*(G15-AT15)/$B$3,2))</f>
        <v>0</v>
      </c>
      <c r="F15" s="32"/>
      <c r="G15" s="33">
        <f>H15+AC15+AT15</f>
        <v>180.72</v>
      </c>
      <c r="H15" s="20">
        <f>SUMIF(I$12:AB$12,"总值",I15:AB15)</f>
        <v>180.72</v>
      </c>
      <c r="I15" s="39">
        <v>180.72</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t="str">
        <f t="shared" si="6"/>
        <v>京（2017）西不动产权第0026868号</v>
      </c>
      <c r="AW15" s="11" t="str">
        <f t="shared" si="6"/>
        <v>不动产权证书</v>
      </c>
      <c r="AX15" s="11" t="str">
        <f t="shared" si="6"/>
        <v>17层19C7</v>
      </c>
      <c r="AY15" s="1809">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51">
      <c r="A16" s="1274" t="s">
        <v>3075</v>
      </c>
      <c r="B16" s="1274" t="s">
        <v>3069</v>
      </c>
      <c r="C16" s="3278" t="s">
        <v>3076</v>
      </c>
      <c r="D16" s="2947" t="s">
        <v>3043</v>
      </c>
      <c r="E16" s="16">
        <f>IF($C$3="是",ROUND($A$3*G16/$B$3,2),ROUND($A$3*(G16-AT16)/$B$3,2))</f>
        <v>0</v>
      </c>
      <c r="F16" s="32"/>
      <c r="G16" s="33">
        <f>H16+AC16+AT16</f>
        <v>121.95</v>
      </c>
      <c r="H16" s="20">
        <f>SUMIF(I$12:AB$12,"总值",I16:AB16)</f>
        <v>121.95</v>
      </c>
      <c r="I16" s="39">
        <v>121.95</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t="str">
        <f t="shared" si="6"/>
        <v>京（2017）西不动产权第0026869号</v>
      </c>
      <c r="AW16" s="11" t="str">
        <f t="shared" si="6"/>
        <v>不动产权证书</v>
      </c>
      <c r="AX16" s="11" t="str">
        <f t="shared" si="6"/>
        <v>17层19C8</v>
      </c>
      <c r="AY16" s="1809">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51">
      <c r="A17" s="1274" t="s">
        <v>3077</v>
      </c>
      <c r="B17" s="1274" t="s">
        <v>3069</v>
      </c>
      <c r="C17" s="3278" t="s">
        <v>3078</v>
      </c>
      <c r="D17" s="2947" t="s">
        <v>3043</v>
      </c>
      <c r="E17" s="16">
        <f>IF($C$3="是",ROUND($A$3*G17/$B$3,2),ROUND($A$3*(G17-AT17)/$B$3,2))</f>
        <v>0</v>
      </c>
      <c r="F17" s="32"/>
      <c r="G17" s="33">
        <f>H17+AC17+AT17</f>
        <v>124.27</v>
      </c>
      <c r="H17" s="20">
        <f>SUMIF(I$12:AB$12,"总值",I17:AB17)</f>
        <v>124.27</v>
      </c>
      <c r="I17" s="39">
        <v>124.27</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t="str">
        <f t="shared" si="6"/>
        <v>京（2017）西不动产权第0026870号</v>
      </c>
      <c r="AW17" s="11" t="str">
        <f t="shared" si="6"/>
        <v>不动产权证书</v>
      </c>
      <c r="AX17" s="11" t="str">
        <f t="shared" si="6"/>
        <v>17层19C9</v>
      </c>
      <c r="AY17" s="1809">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3079</v>
      </c>
      <c r="B18" s="34" t="s">
        <v>3069</v>
      </c>
      <c r="C18" s="3279" t="s">
        <v>3080</v>
      </c>
      <c r="D18" s="2947" t="s">
        <v>3043</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t="str">
        <f t="shared" ref="AV18:AV112" si="11">A18</f>
        <v>京（2017）西不动产权第0026871号</v>
      </c>
      <c r="AW18" s="1798" t="str">
        <f t="shared" ref="AW18:AW112" si="12">B18</f>
        <v>不动产权证书</v>
      </c>
      <c r="AX18" s="1798"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3069</v>
      </c>
      <c r="C19" s="3279" t="s">
        <v>3082</v>
      </c>
      <c r="D19" s="2947" t="s">
        <v>3043</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t="str">
        <f t="shared" si="11"/>
        <v>京（2017）西不动产权第0026872号</v>
      </c>
      <c r="AW19" s="1798" t="str">
        <f t="shared" si="12"/>
        <v>不动产权证书</v>
      </c>
      <c r="AX19" s="1798"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3083</v>
      </c>
      <c r="B20" s="34" t="s">
        <v>3069</v>
      </c>
      <c r="C20" s="3279" t="s">
        <v>3084</v>
      </c>
      <c r="D20" s="2947" t="s">
        <v>3043</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t="str">
        <f t="shared" si="11"/>
        <v>京（2017）西不动产权第0026873号</v>
      </c>
      <c r="AW20" s="1798" t="str">
        <f t="shared" si="12"/>
        <v>不动产权证书</v>
      </c>
      <c r="AX20" s="1798"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3085</v>
      </c>
      <c r="B21" s="34" t="s">
        <v>3069</v>
      </c>
      <c r="C21" s="3279" t="s">
        <v>3086</v>
      </c>
      <c r="D21" s="2947" t="s">
        <v>3043</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t="str">
        <f t="shared" si="11"/>
        <v>京（2017）西不动产权第0026874号</v>
      </c>
      <c r="AW21" s="1798" t="str">
        <f t="shared" si="12"/>
        <v>不动产权证书</v>
      </c>
      <c r="AX21" s="1798"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7"/>
      <c r="E22" s="35">
        <f t="shared" si="7"/>
        <v>0</v>
      </c>
      <c r="F22" s="36"/>
      <c r="G22" s="37">
        <f t="shared" si="8"/>
        <v>0</v>
      </c>
      <c r="H22" s="38">
        <f t="shared" si="9"/>
        <v>0</v>
      </c>
      <c r="I22" s="2943"/>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7"/>
      <c r="E23" s="35">
        <f t="shared" si="7"/>
        <v>0</v>
      </c>
      <c r="F23" s="36"/>
      <c r="G23" s="37">
        <f t="shared" si="8"/>
        <v>0</v>
      </c>
      <c r="H23" s="38">
        <f t="shared" si="9"/>
        <v>0</v>
      </c>
      <c r="I23" s="2943"/>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7"/>
      <c r="E24" s="35">
        <f t="shared" si="7"/>
        <v>0</v>
      </c>
      <c r="F24" s="36"/>
      <c r="G24" s="37">
        <f t="shared" si="8"/>
        <v>0</v>
      </c>
      <c r="H24" s="38">
        <f t="shared" si="9"/>
        <v>0</v>
      </c>
      <c r="I24" s="2943"/>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7"/>
      <c r="E25" s="35">
        <f t="shared" si="7"/>
        <v>0</v>
      </c>
      <c r="F25" s="36"/>
      <c r="G25" s="37">
        <f t="shared" si="8"/>
        <v>0</v>
      </c>
      <c r="H25" s="38">
        <f t="shared" si="9"/>
        <v>0</v>
      </c>
      <c r="I25" s="2943"/>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7"/>
      <c r="E26" s="35">
        <f t="shared" si="7"/>
        <v>0</v>
      </c>
      <c r="F26" s="36"/>
      <c r="G26" s="37">
        <f t="shared" si="8"/>
        <v>0</v>
      </c>
      <c r="H26" s="38">
        <f t="shared" si="9"/>
        <v>0</v>
      </c>
      <c r="I26" s="2943"/>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7"/>
      <c r="E27" s="35">
        <f t="shared" si="7"/>
        <v>0</v>
      </c>
      <c r="F27" s="36"/>
      <c r="G27" s="37">
        <f t="shared" si="8"/>
        <v>0</v>
      </c>
      <c r="H27" s="38">
        <f t="shared" si="9"/>
        <v>0</v>
      </c>
      <c r="I27" s="2943"/>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7"/>
      <c r="E28" s="35">
        <f t="shared" si="7"/>
        <v>0</v>
      </c>
      <c r="F28" s="36"/>
      <c r="G28" s="37">
        <f t="shared" si="8"/>
        <v>0</v>
      </c>
      <c r="H28" s="38">
        <f t="shared" si="9"/>
        <v>0</v>
      </c>
      <c r="I28" s="2943"/>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7"/>
      <c r="E29" s="35">
        <f t="shared" si="7"/>
        <v>0</v>
      </c>
      <c r="F29" s="36"/>
      <c r="G29" s="37">
        <f t="shared" si="8"/>
        <v>0</v>
      </c>
      <c r="H29" s="38">
        <f t="shared" si="9"/>
        <v>0</v>
      </c>
      <c r="I29" s="2943"/>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7"/>
      <c r="E30" s="35">
        <f t="shared" si="7"/>
        <v>0</v>
      </c>
      <c r="F30" s="36"/>
      <c r="G30" s="37">
        <f t="shared" si="8"/>
        <v>0</v>
      </c>
      <c r="H30" s="38">
        <f t="shared" si="9"/>
        <v>0</v>
      </c>
      <c r="I30" s="2943"/>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7"/>
      <c r="E31" s="35">
        <f t="shared" si="7"/>
        <v>0</v>
      </c>
      <c r="F31" s="36"/>
      <c r="G31" s="37">
        <f t="shared" si="8"/>
        <v>0</v>
      </c>
      <c r="H31" s="38">
        <f t="shared" si="9"/>
        <v>0</v>
      </c>
      <c r="I31" s="294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7"/>
      <c r="E32" s="35">
        <f t="shared" si="7"/>
        <v>0</v>
      </c>
      <c r="F32" s="36"/>
      <c r="G32" s="37">
        <f t="shared" si="8"/>
        <v>0</v>
      </c>
      <c r="H32" s="38">
        <f t="shared" si="9"/>
        <v>0</v>
      </c>
      <c r="I32" s="2943"/>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5"/>
      <c r="D33" s="2947"/>
      <c r="E33" s="35">
        <f t="shared" si="7"/>
        <v>0</v>
      </c>
      <c r="F33" s="36"/>
      <c r="G33" s="37">
        <f t="shared" si="8"/>
        <v>0</v>
      </c>
      <c r="H33" s="38">
        <f t="shared" si="9"/>
        <v>0</v>
      </c>
      <c r="I33" s="2943"/>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1" t="s">
        <v>0</v>
      </c>
      <c r="B1" s="3021" t="s">
        <v>4</v>
      </c>
      <c r="C1" s="3021" t="s">
        <v>5</v>
      </c>
      <c r="D1" s="3022" t="s">
        <v>53</v>
      </c>
      <c r="E1" s="3022" t="s">
        <v>54</v>
      </c>
      <c r="F1" s="3022"/>
      <c r="G1" s="3022"/>
      <c r="H1" s="3022"/>
      <c r="I1" s="3022"/>
      <c r="J1" s="3022"/>
      <c r="K1" s="3022"/>
      <c r="L1" s="3022"/>
      <c r="M1" s="3022"/>
    </row>
    <row r="2" spans="1:13" ht="27" customHeight="1">
      <c r="A2" s="3021"/>
      <c r="B2" s="3021"/>
      <c r="C2" s="3021"/>
      <c r="D2" s="3022"/>
      <c r="E2" s="3022" t="s">
        <v>37</v>
      </c>
      <c r="F2" s="3022" t="s">
        <v>38</v>
      </c>
      <c r="G2" s="3022"/>
      <c r="H2" s="3022"/>
      <c r="I2" s="3022"/>
      <c r="J2" s="3022" t="s">
        <v>39</v>
      </c>
      <c r="K2" s="3022"/>
      <c r="L2" s="3022"/>
      <c r="M2" s="3022"/>
    </row>
    <row r="3" spans="1:13" ht="28.5">
      <c r="A3" s="3021"/>
      <c r="B3" s="3021"/>
      <c r="C3" s="3021"/>
      <c r="D3" s="3022"/>
      <c r="E3" s="30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2" t="s">
        <v>55</v>
      </c>
      <c r="B9" s="3022"/>
      <c r="C9" s="30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2" sqref="K1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4"/>
      <c r="C1" s="1394"/>
      <c r="D1" s="1394"/>
      <c r="E1" s="1394"/>
      <c r="F1" s="1394"/>
      <c r="G1" s="1394"/>
      <c r="H1" s="1394"/>
      <c r="I1" s="1394"/>
      <c r="J1" s="1394"/>
      <c r="K1" s="1394"/>
      <c r="L1" s="1394"/>
      <c r="M1" s="1394"/>
      <c r="N1" s="1394"/>
      <c r="O1" s="1394"/>
      <c r="P1" s="1394"/>
    </row>
    <row r="2" spans="1:16" ht="15">
      <c r="A2" s="3032" t="s">
        <v>1935</v>
      </c>
      <c r="B2" s="3032"/>
      <c r="C2" s="3032"/>
      <c r="D2" s="969" t="s">
        <v>1911</v>
      </c>
      <c r="E2" s="2225" t="s">
        <v>1912</v>
      </c>
      <c r="F2" s="1394"/>
      <c r="G2" s="2226"/>
      <c r="H2" s="2227"/>
      <c r="I2" s="2228" t="s">
        <v>1936</v>
      </c>
      <c r="J2" s="1394"/>
      <c r="K2" s="1394"/>
      <c r="L2" s="1394"/>
      <c r="M2" s="1394"/>
      <c r="N2" s="1429"/>
      <c r="O2" s="1394"/>
      <c r="P2" s="1394"/>
    </row>
    <row r="3" spans="1:16" ht="15.75" thickBot="1">
      <c r="A3" s="3033" t="s">
        <v>1909</v>
      </c>
      <c r="B3" s="3033"/>
      <c r="C3" s="3033"/>
      <c r="D3" s="46">
        <f>'数据-基础表'!AY6</f>
        <v>0</v>
      </c>
      <c r="E3" s="46">
        <f>'数据-基础表'!AZ5</f>
        <v>1141.77</v>
      </c>
      <c r="F3" s="1394"/>
      <c r="G3" s="1401"/>
      <c r="H3" s="1249" t="s">
        <v>1910</v>
      </c>
      <c r="I3" s="55" t="e">
        <f>ROUND('数据-基础表'!B3/'数据-基础表'!A3,2)</f>
        <v>#DIV/0!</v>
      </c>
      <c r="J3" s="1394"/>
      <c r="K3" s="1394"/>
      <c r="L3" s="1394"/>
      <c r="M3" s="1394"/>
      <c r="N3" s="1429"/>
      <c r="O3" s="1394"/>
      <c r="P3" s="1394"/>
    </row>
    <row r="4" spans="1:16" ht="15">
      <c r="A4" s="3034"/>
      <c r="B4" s="3035"/>
      <c r="C4" s="3036"/>
      <c r="D4" s="2229" t="s">
        <v>1911</v>
      </c>
      <c r="E4" s="2230" t="s">
        <v>1912</v>
      </c>
      <c r="F4" s="1394"/>
      <c r="G4" s="2231" t="s">
        <v>1937</v>
      </c>
      <c r="H4" s="1249" t="s">
        <v>1917</v>
      </c>
      <c r="I4" s="55" t="e">
        <f>ROUND(SUMIF('数据-基础表'!I9:AS9,"地上",'数据-基础表'!I5:AS5)/'数据-基础表'!A3,2)</f>
        <v>#DIV/0!</v>
      </c>
      <c r="J4" s="1394"/>
      <c r="K4" s="1394"/>
      <c r="L4" s="1394"/>
      <c r="M4" s="1394"/>
      <c r="N4" s="1429"/>
      <c r="O4" s="1394"/>
      <c r="P4" s="1394"/>
    </row>
    <row r="5" spans="1:16">
      <c r="A5" s="47" t="s">
        <v>1913</v>
      </c>
      <c r="B5" s="3037" t="s">
        <v>1914</v>
      </c>
      <c r="C5" s="3037"/>
      <c r="D5" s="48">
        <f>ROUND($D$3*E5/$E$3,2)</f>
        <v>0</v>
      </c>
      <c r="E5" s="49">
        <f>SUMIF('数据-基础表'!$11:$11,"住宅",'数据-基础表'!$5:$5)</f>
        <v>0</v>
      </c>
      <c r="F5" s="1394"/>
      <c r="G5" s="1401"/>
      <c r="H5" s="1249" t="s">
        <v>1910</v>
      </c>
      <c r="I5" s="55" t="e">
        <f>ROUND(E31/D31,2)</f>
        <v>#DIV/0!</v>
      </c>
      <c r="J5" s="1394"/>
      <c r="K5" s="1394"/>
      <c r="L5" s="1394"/>
      <c r="M5" s="1394"/>
      <c r="N5" s="1394"/>
      <c r="O5" s="1394"/>
      <c r="P5" s="1394"/>
    </row>
    <row r="6" spans="1:16" ht="15" thickBot="1">
      <c r="A6" s="2232"/>
      <c r="B6" s="3037" t="s">
        <v>1915</v>
      </c>
      <c r="C6" s="3037"/>
      <c r="D6" s="48">
        <f>ROUND($D$3*E6/$E$3,2)</f>
        <v>0</v>
      </c>
      <c r="E6" s="49">
        <f>E3-E5</f>
        <v>1141.77</v>
      </c>
      <c r="F6" s="1394"/>
      <c r="G6" s="2233" t="s">
        <v>1916</v>
      </c>
      <c r="H6" s="1401" t="s">
        <v>1917</v>
      </c>
      <c r="I6" s="941" t="e">
        <f>ROUND(F31/D31,2)</f>
        <v>#DIV/0!</v>
      </c>
      <c r="J6" s="1394"/>
      <c r="K6" s="1394"/>
      <c r="L6" s="1394"/>
      <c r="M6" s="1394"/>
      <c r="N6" s="1394"/>
      <c r="O6" s="1394"/>
      <c r="P6" s="1394"/>
    </row>
    <row r="7" spans="1:16" ht="15">
      <c r="A7" s="3029"/>
      <c r="B7" s="3030"/>
      <c r="C7" s="3031"/>
      <c r="D7" s="2229" t="s">
        <v>1911</v>
      </c>
      <c r="E7" s="2234" t="s">
        <v>1918</v>
      </c>
      <c r="F7" s="1394"/>
      <c r="G7" s="2226" t="s">
        <v>1919</v>
      </c>
      <c r="H7" s="64"/>
      <c r="I7" s="420">
        <v>2.4</v>
      </c>
      <c r="J7" s="1394"/>
      <c r="K7" s="1394"/>
      <c r="L7" s="1394"/>
      <c r="M7" s="1394"/>
      <c r="N7" s="1394"/>
      <c r="O7" s="1394"/>
      <c r="P7" s="1394"/>
    </row>
    <row r="8" spans="1:16">
      <c r="A8" s="47" t="s">
        <v>1920</v>
      </c>
      <c r="B8" s="50" t="s">
        <v>1921</v>
      </c>
      <c r="C8" s="48" t="s">
        <v>1922</v>
      </c>
      <c r="D8" s="48">
        <f t="shared" ref="D8:D15" si="0">ROUND($D$3*E8/$E$3,2)</f>
        <v>0</v>
      </c>
      <c r="E8" s="51">
        <f>SUMIF('数据-基础表'!BB10:BK10,"地上",'数据-基础表'!BB5:BK5)</f>
        <v>1141.77</v>
      </c>
      <c r="F8" s="1394"/>
      <c r="G8" s="2235"/>
      <c r="H8" s="2235"/>
      <c r="I8" s="1394"/>
      <c r="J8" s="1394"/>
      <c r="K8" s="1394"/>
      <c r="L8" s="1394"/>
      <c r="M8" s="1394"/>
      <c r="N8" s="1394"/>
      <c r="O8" s="1394"/>
      <c r="P8" s="1394"/>
    </row>
    <row r="9" spans="1:16">
      <c r="A9" s="2236"/>
      <c r="B9" s="2237"/>
      <c r="C9" s="48" t="s">
        <v>1923</v>
      </c>
      <c r="D9" s="48">
        <f t="shared" si="0"/>
        <v>0</v>
      </c>
      <c r="E9" s="52">
        <v>0</v>
      </c>
      <c r="F9" s="1394"/>
      <c r="G9" s="2235"/>
      <c r="H9" s="2235"/>
      <c r="I9" s="1394"/>
      <c r="J9" s="1394"/>
      <c r="K9" s="1394"/>
      <c r="L9" s="1394"/>
      <c r="M9" s="1394"/>
      <c r="N9" s="1394"/>
      <c r="O9" s="1394"/>
      <c r="P9" s="1394"/>
    </row>
    <row r="10" spans="1:16">
      <c r="A10" s="2236"/>
      <c r="B10" s="2237"/>
      <c r="C10" s="48" t="s">
        <v>1932</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1924</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1925</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1926</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1938</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1933</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1927</v>
      </c>
      <c r="D16" s="50">
        <f>SUM(D8:D15)</f>
        <v>0</v>
      </c>
      <c r="E16" s="53">
        <f>SUM(E8:E15)</f>
        <v>1141.77</v>
      </c>
      <c r="F16" s="1394"/>
      <c r="G16" s="2235"/>
      <c r="H16" s="2238" t="s">
        <v>1939</v>
      </c>
      <c r="I16" s="2239"/>
      <c r="J16" s="1394"/>
      <c r="K16" s="3026" t="s">
        <v>1939</v>
      </c>
      <c r="L16" s="3027"/>
      <c r="M16" s="3027"/>
      <c r="N16" s="3027"/>
      <c r="O16" s="3027"/>
      <c r="P16" s="3028"/>
    </row>
    <row r="17" spans="1:19" ht="15">
      <c r="A17" s="2240" t="s">
        <v>1940</v>
      </c>
      <c r="B17" s="2241" t="s">
        <v>1941</v>
      </c>
      <c r="C17" s="2242" t="s">
        <v>1942</v>
      </c>
      <c r="D17" s="2243" t="s">
        <v>1930</v>
      </c>
      <c r="E17" s="2244" t="s">
        <v>1931</v>
      </c>
      <c r="F17" s="2245"/>
      <c r="G17" s="2246"/>
      <c r="H17" s="2247" t="s">
        <v>1943</v>
      </c>
      <c r="I17" s="2248" t="s">
        <v>1928</v>
      </c>
      <c r="J17" s="1394"/>
      <c r="K17" s="3023" t="s">
        <v>1944</v>
      </c>
      <c r="L17" s="3024"/>
      <c r="M17" s="3025"/>
      <c r="N17" s="3023" t="s">
        <v>1945</v>
      </c>
      <c r="O17" s="3024"/>
      <c r="P17" s="3025"/>
      <c r="R17" s="2226" t="s">
        <v>1946</v>
      </c>
      <c r="S17" s="64"/>
    </row>
    <row r="18" spans="1:19" ht="15">
      <c r="A18" s="2236"/>
      <c r="B18" s="2249"/>
      <c r="C18" s="2250"/>
      <c r="D18" s="2251"/>
      <c r="E18" s="2252" t="s">
        <v>1947</v>
      </c>
      <c r="F18" s="2253" t="s">
        <v>1948</v>
      </c>
      <c r="G18" s="2254" t="s">
        <v>1949</v>
      </c>
      <c r="H18" s="1264" t="s">
        <v>1950</v>
      </c>
      <c r="I18" s="2255" t="s">
        <v>1951</v>
      </c>
      <c r="J18" s="1394"/>
      <c r="K18" s="1264" t="s">
        <v>1952</v>
      </c>
      <c r="L18" s="2256" t="s">
        <v>1953</v>
      </c>
      <c r="M18" s="1048" t="s">
        <v>1954</v>
      </c>
      <c r="N18" s="1264" t="s">
        <v>1952</v>
      </c>
      <c r="O18" s="2256" t="s">
        <v>1953</v>
      </c>
      <c r="P18" s="1048" t="s">
        <v>1954</v>
      </c>
      <c r="R18" s="1249" t="s">
        <v>1955</v>
      </c>
      <c r="S18" s="1249" t="s">
        <v>1956</v>
      </c>
    </row>
    <row r="19" spans="1:19">
      <c r="A19" s="2257"/>
      <c r="B19" s="50" t="s">
        <v>1929</v>
      </c>
      <c r="C19" s="2946" t="s">
        <v>3089</v>
      </c>
      <c r="D19" s="48">
        <f>ROUND($D$3*E19/$E$3,2)</f>
        <v>0</v>
      </c>
      <c r="E19" s="56">
        <f t="shared" ref="E19:E26" si="1">SUM(F19:G19)</f>
        <v>103.53</v>
      </c>
      <c r="F19" s="57">
        <f>'数据-基础表'!I13</f>
        <v>103.53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0</v>
      </c>
      <c r="S19" s="1250">
        <f t="shared" si="5"/>
        <v>103.53</v>
      </c>
    </row>
    <row r="20" spans="1:19">
      <c r="A20" s="2260"/>
      <c r="B20" s="50" t="s">
        <v>1957</v>
      </c>
      <c r="C20" s="2946" t="s">
        <v>3090</v>
      </c>
      <c r="D20" s="48">
        <f t="shared" ref="D20:D26" si="6">ROUND($D$3*E20/$E$3,2)</f>
        <v>0</v>
      </c>
      <c r="E20" s="56">
        <f t="shared" si="1"/>
        <v>1038.24</v>
      </c>
      <c r="F20" s="57">
        <f>SUM('数据-基础表'!I14:I21)</f>
        <v>1038.24</v>
      </c>
      <c r="G20" s="58"/>
      <c r="H20" s="723">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0</v>
      </c>
      <c r="S20" s="1250">
        <f t="shared" si="5"/>
        <v>1038.24</v>
      </c>
    </row>
    <row r="21" spans="1:19">
      <c r="A21" s="2260"/>
      <c r="B21" s="50" t="s">
        <v>1957</v>
      </c>
      <c r="C21" s="2946"/>
      <c r="D21" s="48">
        <f t="shared" si="6"/>
        <v>0</v>
      </c>
      <c r="E21" s="56">
        <f t="shared" si="1"/>
        <v>0</v>
      </c>
      <c r="F21" s="57"/>
      <c r="G21" s="58"/>
      <c r="H21" s="723">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0</v>
      </c>
      <c r="E27" s="1396">
        <f>IF(SUM(E19:E26)='数据-基础表'!BA5,SUM(E19:E26),IF(F27="地上面积有误","面积有误","地下面积有误"))</f>
        <v>1141.77</v>
      </c>
      <c r="F27" s="1395">
        <f>IF(SUM(F19:F26)=E8,SUM(F19:F26),"地上面积有误")</f>
        <v>1141.77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1141.77</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9">
        <f>D27+D30</f>
        <v>0</v>
      </c>
      <c r="E31" s="729">
        <f>E27+E30</f>
        <v>1141.77</v>
      </c>
      <c r="F31" s="730">
        <f>F27+F30</f>
        <v>1141.77</v>
      </c>
      <c r="G31" s="731">
        <f>G27+G30</f>
        <v>0</v>
      </c>
      <c r="H31" s="1394"/>
      <c r="I31" s="1394"/>
      <c r="J31" s="1394"/>
      <c r="K31" s="1394"/>
      <c r="L31" s="1394"/>
      <c r="M31" s="1394"/>
      <c r="N31" s="1394"/>
      <c r="O31" s="1394"/>
      <c r="P31" s="1394"/>
    </row>
    <row r="32" spans="1:19">
      <c r="A32" s="2231"/>
      <c r="B32" s="2231" t="s">
        <v>1963</v>
      </c>
      <c r="C32" s="2231"/>
      <c r="D32" s="2231"/>
      <c r="E32" s="1276">
        <f>SUMIF(C19:C26,"*住宅*",E19:E26)</f>
        <v>0</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E29:I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1965</v>
      </c>
      <c r="B2" s="1268">
        <f>项目基本情况!D3</f>
        <v>43102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3044</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5" t="s">
        <v>2005</v>
      </c>
      <c r="AP5" s="1251" t="s">
        <v>2006</v>
      </c>
      <c r="AQ5" s="2302" t="s">
        <v>2007</v>
      </c>
      <c r="AR5" s="2302"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3" t="str">
        <f>'数据-汇总表'!C19</f>
        <v>17层19C5</v>
      </c>
      <c r="B6" s="2304" t="str">
        <f>IF(A6=0,"","经营性")</f>
        <v>经营性</v>
      </c>
      <c r="C6" s="2305" t="s">
        <v>27</v>
      </c>
      <c r="D6" s="1053">
        <f>SUMIF(项目基本情况!D$12:I$12,C6,项目基本情况!D$14:I$14)</f>
        <v>50</v>
      </c>
      <c r="E6" s="1050">
        <f>IF(B6="","",SUMIF(项目基本情况!D$12:I$12,C6,项目基本情况!D$13:I$13))</f>
        <v>56484</v>
      </c>
      <c r="F6" s="72">
        <f>SUMIF(项目基本情况!D$12:I$12,C6,项目基本情况!D$15:I$15)</f>
        <v>36.659999999999997</v>
      </c>
      <c r="G6" s="73">
        <f>IF(ISERROR(ROUND(POWER(1+H6,D6-F6)*(POWER(1+H6,F6)-1)/(POWER(1+H6,D6)-1),3)),0,ROUND(POWER(1+H6,D6-F6)*(POWER(1+H6,F6)-1)/(POWER(1+H6,D6)-1),3))</f>
        <v>0.90100000000000002</v>
      </c>
      <c r="H6" s="802">
        <v>4.4999999999999998E-2</v>
      </c>
      <c r="I6" s="802">
        <v>5.5E-2</v>
      </c>
      <c r="J6" s="74">
        <v>0.08</v>
      </c>
      <c r="K6" s="1253">
        <f>SUMIF('数据-汇总表'!C$19:C$33,A6,'数据-汇总表'!E$19:E$33)</f>
        <v>103.53</v>
      </c>
      <c r="L6" s="803">
        <v>3500</v>
      </c>
      <c r="M6" s="75">
        <f t="shared" ref="M6:M14" si="0">ROUND(K6*L6/10000,0)</f>
        <v>36</v>
      </c>
      <c r="N6" s="801">
        <f>ROUND(1-(2018-2005)/60,2)</f>
        <v>0.78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8</v>
      </c>
      <c r="V6" s="79">
        <v>0.02</v>
      </c>
      <c r="W6" s="79">
        <v>0.1</v>
      </c>
      <c r="X6" s="1263"/>
      <c r="Y6" s="80">
        <f>N6</f>
        <v>0.78</v>
      </c>
      <c r="Z6" s="81"/>
      <c r="AA6" s="74"/>
      <c r="AB6" s="74"/>
      <c r="AC6" s="1263"/>
      <c r="AD6" s="82"/>
      <c r="AE6" s="1264">
        <f ca="1">IF(AN6="",0,SUMIF(INDIRECT("'"&amp;AN6&amp;"'"&amp;"!E:E"),$AE$5,INDIRECT("'"&amp;AN6&amp;"'"&amp;"!F:F")))</f>
        <v>36.659999999999997</v>
      </c>
      <c r="AF6" s="1807"/>
      <c r="AG6" s="147">
        <f>IF(AF6="",0,AE6-AF6)</f>
        <v>0</v>
      </c>
      <c r="AH6" s="83"/>
      <c r="AI6" s="85">
        <v>365</v>
      </c>
      <c r="AJ6" s="86"/>
      <c r="AK6" s="87">
        <v>0.02</v>
      </c>
      <c r="AL6" s="88">
        <v>3.0000000000000001E-3</v>
      </c>
      <c r="AM6" s="89">
        <v>0.03</v>
      </c>
      <c r="AN6" s="2306" t="s">
        <v>3091</v>
      </c>
      <c r="AO6" s="55">
        <f ca="1">SUMIF(INDIRECT("'"&amp;AN6&amp;"'"&amp;"!A:A"),"总价",INDIRECT("'"&amp;AN6&amp;"'"&amp;"!B:B"))</f>
        <v>467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t="str">
        <f>'数据-汇总表'!C20</f>
        <v>其他</v>
      </c>
      <c r="B7" s="2304" t="str">
        <f t="shared" ref="B7:B13" si="1">IF(A7=0,"","经营性")</f>
        <v>经营性</v>
      </c>
      <c r="C7" s="2305" t="s">
        <v>27</v>
      </c>
      <c r="D7" s="1053">
        <f>SUMIF(项目基本情况!D$12:I$12,C7,项目基本情况!D$14:I$14)</f>
        <v>50</v>
      </c>
      <c r="E7" s="1050">
        <f>IF(B7="","",SUMIF(项目基本情况!D$12:I$12,C7,项目基本情况!D$13:I$13))</f>
        <v>56484</v>
      </c>
      <c r="F7" s="72">
        <f>SUMIF(项目基本情况!D$12:I$12,C7,项目基本情况!D$15:I$15)</f>
        <v>36.659999999999997</v>
      </c>
      <c r="G7" s="73">
        <f t="shared" ref="G7:G11" si="2">IF(ISERROR(ROUND(POWER(1+H7,D7-F7)*(POWER(1+H7,F7)-1)/(POWER(1+H7,D7)-1),3)),0,ROUND(POWER(1+H7,D7-F7)*(POWER(1+H7,F7)-1)/(POWER(1+H7,D7)-1),3))</f>
        <v>0.90100000000000002</v>
      </c>
      <c r="H7" s="802">
        <v>4.4999999999999998E-2</v>
      </c>
      <c r="I7" s="802">
        <v>5.5E-2</v>
      </c>
      <c r="J7" s="74">
        <v>0.08</v>
      </c>
      <c r="K7" s="1253">
        <f>SUMIF('数据-汇总表'!C$19:C$33,A7,'数据-汇总表'!E$19:E$33)</f>
        <v>1038.24</v>
      </c>
      <c r="L7" s="803">
        <v>3500</v>
      </c>
      <c r="M7" s="75">
        <f t="shared" si="0"/>
        <v>363</v>
      </c>
      <c r="N7" s="801">
        <f>ROUND(1-(2018-2005)/60,2)</f>
        <v>0.78</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2013</v>
      </c>
      <c r="B16" s="97"/>
      <c r="C16" s="1007"/>
      <c r="D16" s="2311"/>
      <c r="E16" s="97"/>
      <c r="F16" s="97"/>
      <c r="G16" s="98">
        <f>ROUND(SUMPRODUCT(G6:G13,K6:K13)/SUMPRODUCT((G6:G13&gt;0)*(K6:K13)),3)</f>
        <v>0.90100000000000002</v>
      </c>
      <c r="H16" s="99">
        <f>ROUND(SUMPRODUCT(H6:H13,K6:K13)/SUMPRODUCT((H6:H13&gt;0)*(K6:K13)),3)</f>
        <v>4.4999999999999998E-2</v>
      </c>
      <c r="I16" s="100"/>
      <c r="J16" s="100"/>
      <c r="K16" s="101">
        <f>SUM(K6:K15)</f>
        <v>1141.77</v>
      </c>
      <c r="L16" s="102">
        <f>ROUND(M16*10000/SUM(K6:K14),0)</f>
        <v>3495</v>
      </c>
      <c r="M16" s="102">
        <f>SUM(M6:M14)</f>
        <v>399</v>
      </c>
      <c r="N16" s="103">
        <f>ROUND(SUMPRODUCT(M6:M14,N6:N14)/M16,3)</f>
        <v>0.78</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2015</v>
      </c>
      <c r="B19" s="112">
        <v>0</v>
      </c>
      <c r="C19" s="2274" t="s">
        <v>2016</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4" t="s">
        <v>2017</v>
      </c>
      <c r="B20" s="113">
        <v>2</v>
      </c>
      <c r="C20" s="2274" t="s">
        <v>2018</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2019</v>
      </c>
      <c r="B21" s="113">
        <v>2</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2020</v>
      </c>
      <c r="B22" s="114">
        <f>B19+B20</f>
        <v>2</v>
      </c>
      <c r="C22" s="2274"/>
      <c r="D22" s="2275"/>
      <c r="E22" s="2274"/>
      <c r="F22" s="2274"/>
      <c r="G22" s="2274"/>
      <c r="H22" s="2274"/>
      <c r="I22" s="2274"/>
      <c r="J22" s="2274"/>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2021</v>
      </c>
      <c r="B23" s="114">
        <f>B19+B21</f>
        <v>2</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2022</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2023</v>
      </c>
      <c r="B26" s="2317" t="s">
        <v>2024</v>
      </c>
      <c r="C26" s="2318" t="s">
        <v>2025</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2026</v>
      </c>
      <c r="B27" s="116"/>
      <c r="C27" s="1767" t="s">
        <v>2027</v>
      </c>
      <c r="D27" s="2320"/>
      <c r="E27" s="1429"/>
      <c r="F27" s="1429"/>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2028</v>
      </c>
      <c r="B28" s="119"/>
      <c r="C28" s="2323"/>
      <c r="D28" s="2320"/>
      <c r="E28" s="1429"/>
      <c r="F28" s="1429"/>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2029</v>
      </c>
      <c r="B29" s="121"/>
      <c r="C29" s="1767" t="s">
        <v>2030</v>
      </c>
      <c r="D29" s="2320"/>
      <c r="E29" s="1429"/>
      <c r="F29" s="1429"/>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2031</v>
      </c>
      <c r="B30" s="724">
        <v>200</v>
      </c>
      <c r="C30" s="2323"/>
      <c r="D30" s="2320"/>
      <c r="E30" s="1429"/>
      <c r="F30" s="1429"/>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2032</v>
      </c>
      <c r="B31" s="120">
        <f>B30-B32</f>
        <v>200</v>
      </c>
      <c r="C31" s="1767"/>
      <c r="D31" s="2320"/>
      <c r="E31" s="1429"/>
      <c r="F31" s="1429"/>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2033</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2034</v>
      </c>
      <c r="B33" s="726">
        <v>0.05</v>
      </c>
      <c r="C33" s="1766" t="s">
        <v>2035</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2036</v>
      </c>
      <c r="B34" s="122">
        <v>0</v>
      </c>
      <c r="C34" s="1766" t="s">
        <v>2037</v>
      </c>
      <c r="D34" s="2275" t="s">
        <v>2038</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2039</v>
      </c>
      <c r="B35" s="119">
        <v>200</v>
      </c>
      <c r="C35" s="1766" t="s">
        <v>2040</v>
      </c>
      <c r="D35" s="2320"/>
      <c r="E35" s="1429"/>
      <c r="F35" s="1429"/>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2041</v>
      </c>
      <c r="B36" s="123">
        <v>1.4999999999999999E-2</v>
      </c>
      <c r="C36" s="1766" t="s">
        <v>2042</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2043</v>
      </c>
      <c r="B37" s="124">
        <v>0.03</v>
      </c>
      <c r="C37" s="1766" t="s">
        <v>2044</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2" t="s">
        <v>2045</v>
      </c>
      <c r="B38" s="122">
        <v>0.03</v>
      </c>
      <c r="C38" s="1766" t="s">
        <v>2044</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2046</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2047</v>
      </c>
      <c r="B40" s="1302">
        <f ca="1">存贷款利率!G1</f>
        <v>4.7500000000000001E-2</v>
      </c>
      <c r="C40" s="1766" t="s">
        <v>2048</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2049</v>
      </c>
      <c r="B41" s="125">
        <f>B42+B43</f>
        <v>5.6000000000000001E-2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2050</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2051</v>
      </c>
      <c r="B43" s="127">
        <f>B42*(B44+B45+B46)+B47</f>
        <v>6.000000000000001E-3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2052</v>
      </c>
      <c r="B44" s="128">
        <v>7.0000000000000007E-2</v>
      </c>
      <c r="C44" s="1766" t="s">
        <v>2053</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2054</v>
      </c>
      <c r="B45" s="126">
        <v>0.03</v>
      </c>
      <c r="C45" s="1767" t="s">
        <v>2055</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2056</v>
      </c>
      <c r="B46" s="126">
        <v>0.02</v>
      </c>
      <c r="C46" s="1767" t="s">
        <v>2057</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2058</v>
      </c>
      <c r="B47" s="129"/>
      <c r="C47" s="1767" t="s">
        <v>2059</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2060</v>
      </c>
      <c r="B48" s="130">
        <v>0.03</v>
      </c>
      <c r="C48" s="1774" t="s">
        <v>2061</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2062</v>
      </c>
      <c r="B49" s="126">
        <v>5.0000000000000001E-4</v>
      </c>
      <c r="C49" s="1774" t="s">
        <v>2063</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2064</v>
      </c>
      <c r="B50" s="131">
        <v>1.2E-2</v>
      </c>
      <c r="C50" s="1429"/>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2065</v>
      </c>
      <c r="B51" s="132">
        <v>0.12</v>
      </c>
      <c r="C51" s="1429"/>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2066</v>
      </c>
      <c r="B52" s="133">
        <f>SUMIF(A54:A63,B53,B54:B63)</f>
        <v>24</v>
      </c>
      <c r="C52" s="1429"/>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2067</v>
      </c>
      <c r="B53" s="2333" t="s">
        <v>269</v>
      </c>
      <c r="C53" s="1429" t="s">
        <v>2068</v>
      </c>
      <c r="D53" s="2334" t="s">
        <v>2069</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2070</v>
      </c>
      <c r="B54" s="84">
        <v>30</v>
      </c>
      <c r="C54" s="1429">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2071</v>
      </c>
      <c r="B55" s="84">
        <v>24</v>
      </c>
      <c r="C55" s="1429">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2072</v>
      </c>
      <c r="B56" s="84">
        <v>18</v>
      </c>
      <c r="C56" s="1429">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2073</v>
      </c>
      <c r="B57" s="84">
        <v>12</v>
      </c>
      <c r="C57" s="1429">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2074</v>
      </c>
      <c r="B58" s="84">
        <v>3</v>
      </c>
      <c r="C58" s="1429">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2075</v>
      </c>
      <c r="B59" s="84">
        <v>1.5</v>
      </c>
      <c r="C59" s="1429">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2076</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2077</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2078</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2079</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38"/>
      <c r="D64" s="2339"/>
      <c r="K64" s="798"/>
      <c r="L64" s="798"/>
    </row>
    <row r="65" spans="1:12" s="966" customFormat="1">
      <c r="A65" s="2338"/>
      <c r="D65" s="2339"/>
      <c r="K65" s="798"/>
      <c r="L65" s="798"/>
    </row>
    <row r="66" spans="1:12" s="966" customFormat="1">
      <c r="A66" s="2338"/>
      <c r="D66" s="2339"/>
      <c r="K66" s="798"/>
      <c r="L66" s="798"/>
    </row>
    <row r="67" spans="1:12" s="966" customFormat="1">
      <c r="A67" s="2338"/>
      <c r="D67" s="2339"/>
      <c r="K67" s="798"/>
      <c r="L67" s="798"/>
    </row>
    <row r="68" spans="1:12" s="966" customFormat="1">
      <c r="A68" s="2338"/>
      <c r="D68" s="2339"/>
      <c r="K68" s="798"/>
      <c r="L68" s="798"/>
    </row>
    <row r="69" spans="1:12" s="966" customFormat="1">
      <c r="A69" s="2338"/>
      <c r="D69" s="2339"/>
      <c r="K69" s="798"/>
      <c r="L69" s="798"/>
    </row>
    <row r="70" spans="1:12" s="966" customFormat="1">
      <c r="A70" s="2338"/>
      <c r="D70" s="2339"/>
      <c r="K70" s="798"/>
      <c r="L70" s="798"/>
    </row>
    <row r="71" spans="1:12" s="966" customFormat="1">
      <c r="A71" s="2338"/>
      <c r="D71" s="2339"/>
      <c r="K71" s="798"/>
      <c r="L71" s="798"/>
    </row>
    <row r="72" spans="1:12" s="966" customFormat="1">
      <c r="A72" s="2338"/>
      <c r="D72" s="2339"/>
      <c r="K72" s="798"/>
      <c r="L72" s="798"/>
    </row>
    <row r="73" spans="1:12" s="966" customFormat="1">
      <c r="A73" s="2338"/>
      <c r="D73" s="2339"/>
      <c r="K73" s="798"/>
      <c r="L73" s="798"/>
    </row>
    <row r="74" spans="1:12" s="966" customFormat="1">
      <c r="A74" s="2338"/>
      <c r="D74" s="2339"/>
      <c r="K74" s="798"/>
      <c r="L74" s="798"/>
    </row>
    <row r="75" spans="1:12" s="966" customFormat="1">
      <c r="A75" s="2338"/>
      <c r="D75" s="2339"/>
      <c r="K75" s="798"/>
      <c r="L75" s="798"/>
    </row>
    <row r="76" spans="1:12" s="966" customFormat="1">
      <c r="A76" s="2338"/>
      <c r="D76" s="2339"/>
      <c r="K76" s="798"/>
      <c r="L76" s="798"/>
    </row>
    <row r="77" spans="1:12" s="966" customFormat="1">
      <c r="A77" s="2338"/>
      <c r="D77" s="2339"/>
      <c r="K77" s="798"/>
      <c r="L77" s="798"/>
    </row>
    <row r="78" spans="1:12" s="966" customFormat="1">
      <c r="A78" s="2338"/>
      <c r="D78" s="2339"/>
      <c r="K78" s="798"/>
      <c r="L78" s="798"/>
    </row>
    <row r="79" spans="1:12" s="966" customFormat="1">
      <c r="A79" s="2338"/>
      <c r="D79" s="2339"/>
      <c r="K79" s="798"/>
      <c r="L79" s="798"/>
    </row>
    <row r="80" spans="1:12" s="966" customFormat="1">
      <c r="A80" s="2338"/>
      <c r="D80" s="2339"/>
      <c r="K80" s="798"/>
      <c r="L80" s="798"/>
    </row>
    <row r="81" spans="1:12" s="966" customFormat="1">
      <c r="A81" s="2338"/>
      <c r="D81" s="2339"/>
      <c r="K81" s="798"/>
      <c r="L81" s="798"/>
    </row>
    <row r="82" spans="1:12" s="966" customFormat="1">
      <c r="A82" s="2338"/>
      <c r="D82" s="2339"/>
      <c r="K82" s="798"/>
      <c r="L82" s="798"/>
    </row>
    <row r="83" spans="1:12" s="966" customFormat="1">
      <c r="A83" s="2338"/>
      <c r="D83" s="2339"/>
      <c r="K83" s="798"/>
      <c r="L83" s="798"/>
    </row>
    <row r="84" spans="1:12" s="966" customFormat="1">
      <c r="A84" s="2338"/>
      <c r="D84" s="2339"/>
      <c r="K84" s="798"/>
      <c r="L84" s="798"/>
    </row>
    <row r="85" spans="1:12" s="966" customFormat="1">
      <c r="A85" s="2338"/>
      <c r="D85" s="2339"/>
      <c r="K85" s="798"/>
      <c r="L85" s="798"/>
    </row>
    <row r="86" spans="1:12" s="966" customFormat="1">
      <c r="A86" s="2338"/>
      <c r="D86" s="2339"/>
      <c r="K86" s="798"/>
      <c r="L86" s="798"/>
    </row>
    <row r="87" spans="1:12" s="966" customFormat="1">
      <c r="A87" s="2338"/>
      <c r="D87" s="2339"/>
      <c r="K87" s="798"/>
      <c r="L87" s="798"/>
    </row>
    <row r="88" spans="1:12" s="966" customFormat="1">
      <c r="A88" s="2338"/>
      <c r="D88" s="2339"/>
      <c r="K88" s="798"/>
      <c r="L88" s="798"/>
    </row>
    <row r="89" spans="1:12" s="966" customFormat="1">
      <c r="A89" s="2338"/>
      <c r="D89" s="2339"/>
      <c r="K89" s="798"/>
      <c r="L89" s="798"/>
    </row>
    <row r="90" spans="1:12" s="966" customFormat="1">
      <c r="A90" s="2338"/>
      <c r="D90" s="2339"/>
      <c r="K90" s="798"/>
      <c r="L90" s="798"/>
    </row>
    <row r="91" spans="1:12" s="966" customFormat="1">
      <c r="A91" s="2338"/>
      <c r="D91" s="2339"/>
      <c r="K91" s="798"/>
      <c r="L91" s="798"/>
    </row>
    <row r="92" spans="1:12" s="966" customFormat="1">
      <c r="A92" s="2338"/>
      <c r="D92" s="2339"/>
      <c r="K92" s="798"/>
      <c r="L92" s="798"/>
    </row>
    <row r="93" spans="1:12" s="966" customFormat="1">
      <c r="A93" s="2338"/>
      <c r="D93" s="2339"/>
      <c r="K93" s="798"/>
      <c r="L93" s="798"/>
    </row>
    <row r="94" spans="1:12" s="966" customFormat="1">
      <c r="A94" s="2338"/>
      <c r="D94" s="2339"/>
      <c r="K94" s="798"/>
      <c r="L94" s="798"/>
    </row>
    <row r="95" spans="1:12" s="966" customFormat="1">
      <c r="A95" s="2338"/>
      <c r="D95" s="2339"/>
      <c r="K95" s="798"/>
      <c r="L95" s="798"/>
    </row>
    <row r="96" spans="1:12" s="966" customFormat="1">
      <c r="A96" s="2338"/>
      <c r="D96" s="2339"/>
      <c r="K96" s="798"/>
      <c r="L96" s="798"/>
    </row>
    <row r="97" spans="1:12" s="966" customFormat="1">
      <c r="A97" s="2338"/>
      <c r="D97" s="2339"/>
      <c r="K97" s="798"/>
      <c r="L97" s="798"/>
    </row>
    <row r="98" spans="1:12" s="966" customFormat="1">
      <c r="A98" s="2338"/>
      <c r="D98" s="2339"/>
      <c r="K98" s="798"/>
      <c r="L98" s="798"/>
    </row>
    <row r="99" spans="1:12" s="966" customFormat="1">
      <c r="A99" s="2338"/>
      <c r="D99" s="2339"/>
      <c r="K99" s="798"/>
      <c r="L99" s="798"/>
    </row>
    <row r="100" spans="1:12" s="966" customFormat="1">
      <c r="A100" s="2338"/>
      <c r="D100" s="2339"/>
      <c r="K100" s="798"/>
      <c r="L100" s="798"/>
    </row>
    <row r="101" spans="1:12" s="966" customFormat="1">
      <c r="A101" s="2338"/>
      <c r="D101" s="2339"/>
      <c r="K101" s="798"/>
      <c r="L101" s="798"/>
    </row>
    <row r="102" spans="1:12" s="966" customFormat="1">
      <c r="A102" s="2338"/>
      <c r="D102" s="2339"/>
      <c r="K102" s="798"/>
      <c r="L102" s="798"/>
    </row>
    <row r="103" spans="1:12" s="966" customFormat="1">
      <c r="A103" s="2338"/>
      <c r="D103" s="2339"/>
      <c r="K103" s="798"/>
      <c r="L103" s="798"/>
    </row>
    <row r="104" spans="1:12" s="966" customFormat="1">
      <c r="A104" s="2338"/>
      <c r="D104" s="2339"/>
      <c r="K104" s="798"/>
      <c r="L104" s="798"/>
    </row>
    <row r="105" spans="1:12" s="966" customFormat="1">
      <c r="A105" s="2338"/>
      <c r="D105" s="2339"/>
      <c r="K105" s="798"/>
      <c r="L105" s="798"/>
    </row>
    <row r="106" spans="1:12" s="966" customFormat="1">
      <c r="A106" s="2338"/>
      <c r="D106" s="2339"/>
      <c r="K106" s="798"/>
      <c r="L106" s="798"/>
    </row>
    <row r="107" spans="1:12" s="966" customFormat="1">
      <c r="A107" s="2338"/>
      <c r="D107" s="2339"/>
      <c r="K107" s="798"/>
      <c r="L107" s="798"/>
    </row>
    <row r="108" spans="1:12" s="966" customFormat="1">
      <c r="A108" s="2338"/>
      <c r="D108" s="2339"/>
      <c r="K108" s="798"/>
      <c r="L108" s="798"/>
    </row>
    <row r="109" spans="1:12" s="966" customFormat="1">
      <c r="A109" s="2338"/>
      <c r="D109" s="2339"/>
      <c r="K109" s="798"/>
      <c r="L109" s="798"/>
    </row>
    <row r="110" spans="1:12" s="966" customFormat="1">
      <c r="A110" s="2338"/>
      <c r="D110" s="2339"/>
      <c r="K110" s="798"/>
      <c r="L110" s="798"/>
    </row>
    <row r="111" spans="1:12" s="966" customFormat="1">
      <c r="A111" s="2338"/>
      <c r="D111" s="2339"/>
      <c r="K111" s="798"/>
      <c r="L111" s="798"/>
    </row>
    <row r="112" spans="1:12" s="966" customFormat="1">
      <c r="A112" s="2338"/>
      <c r="D112" s="2339"/>
      <c r="K112" s="798"/>
      <c r="L112" s="798"/>
    </row>
    <row r="113" spans="1:12" s="966" customFormat="1">
      <c r="A113" s="2338"/>
      <c r="D113" s="2339"/>
      <c r="K113" s="798"/>
      <c r="L113" s="798"/>
    </row>
    <row r="114" spans="1:12" s="966" customFormat="1">
      <c r="A114" s="2338"/>
      <c r="D114" s="2339"/>
      <c r="K114" s="798"/>
      <c r="L114" s="798"/>
    </row>
    <row r="115" spans="1:12" s="966" customFormat="1">
      <c r="A115" s="2338"/>
      <c r="D115" s="2339"/>
      <c r="K115" s="798"/>
      <c r="L115" s="798"/>
    </row>
    <row r="116" spans="1:12" s="966" customFormat="1">
      <c r="A116" s="2338"/>
      <c r="D116" s="2339"/>
      <c r="K116" s="798"/>
      <c r="L116" s="798"/>
    </row>
    <row r="117" spans="1:12" s="966" customFormat="1">
      <c r="A117" s="2338"/>
      <c r="D117" s="2339"/>
      <c r="K117" s="798"/>
      <c r="L117" s="798"/>
    </row>
    <row r="118" spans="1:12" s="966" customFormat="1">
      <c r="A118" s="2338"/>
      <c r="D118" s="2339"/>
      <c r="K118" s="798"/>
      <c r="L118" s="798"/>
    </row>
    <row r="119" spans="1:12" s="966" customFormat="1">
      <c r="A119" s="2338"/>
      <c r="D119" s="2339"/>
      <c r="K119" s="798"/>
      <c r="L119" s="798"/>
    </row>
    <row r="120" spans="1:12" s="966" customFormat="1">
      <c r="A120" s="2338"/>
      <c r="D120" s="2339"/>
      <c r="K120" s="798"/>
      <c r="L120" s="798"/>
    </row>
    <row r="121" spans="1:12" s="966" customFormat="1">
      <c r="A121" s="2338"/>
      <c r="D121" s="2339"/>
      <c r="K121" s="798"/>
      <c r="L121" s="798"/>
    </row>
    <row r="122" spans="1:12" s="966" customFormat="1">
      <c r="A122" s="2338"/>
      <c r="D122" s="2339"/>
      <c r="K122" s="798"/>
      <c r="L122" s="798"/>
    </row>
    <row r="123" spans="1:12" s="966" customFormat="1">
      <c r="A123" s="2338"/>
      <c r="D123" s="2339"/>
      <c r="K123" s="798"/>
      <c r="L123" s="798"/>
    </row>
    <row r="124" spans="1:12" s="966" customFormat="1">
      <c r="A124" s="2338"/>
      <c r="D124" s="2339"/>
      <c r="K124" s="798"/>
      <c r="L124" s="798"/>
    </row>
    <row r="125" spans="1:12" s="966" customFormat="1">
      <c r="A125" s="2338"/>
      <c r="D125" s="2339"/>
      <c r="K125" s="798"/>
      <c r="L125" s="798"/>
    </row>
    <row r="126" spans="1:12" s="966" customFormat="1">
      <c r="A126" s="2338"/>
      <c r="D126" s="2339"/>
      <c r="K126" s="798"/>
      <c r="L126" s="798"/>
    </row>
    <row r="127" spans="1:12" s="966" customFormat="1">
      <c r="A127" s="2338"/>
      <c r="D127" s="2339"/>
      <c r="K127" s="798"/>
      <c r="L127" s="798"/>
    </row>
    <row r="128" spans="1:12" s="966" customFormat="1">
      <c r="A128" s="2338"/>
      <c r="D128" s="2339"/>
      <c r="K128" s="798"/>
      <c r="L128" s="798"/>
    </row>
    <row r="129" spans="1:12" s="966" customFormat="1">
      <c r="A129" s="2338"/>
      <c r="D129" s="2339"/>
      <c r="K129" s="798"/>
      <c r="L129" s="798"/>
    </row>
    <row r="130" spans="1:12" s="966" customFormat="1">
      <c r="A130" s="2338"/>
      <c r="D130" s="2339"/>
      <c r="K130" s="798"/>
      <c r="L130" s="798"/>
    </row>
    <row r="131" spans="1:12" s="966" customFormat="1">
      <c r="A131" s="2338"/>
      <c r="D131" s="2339"/>
      <c r="K131" s="798"/>
      <c r="L131" s="798"/>
    </row>
    <row r="132" spans="1:12" s="966" customFormat="1">
      <c r="A132" s="2338"/>
      <c r="D132" s="2339"/>
      <c r="K132" s="798"/>
      <c r="L132" s="798"/>
    </row>
    <row r="133" spans="1:12" s="966"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38" t="s">
        <v>2080</v>
      </c>
      <c r="B1" s="3039"/>
      <c r="C1" s="3039"/>
      <c r="D1" s="3039"/>
      <c r="E1" s="3039"/>
      <c r="F1" s="3039"/>
      <c r="G1" s="303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54">
      <c r="A3" s="415" t="s">
        <v>2083</v>
      </c>
      <c r="B3" s="1270"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8"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8" t="s">
        <v>2092</v>
      </c>
      <c r="C5" s="2371" t="s">
        <v>2093</v>
      </c>
      <c r="D5" s="2368"/>
      <c r="E5" s="2372"/>
      <c r="F5" s="1798" t="s">
        <v>2094</v>
      </c>
      <c r="G5" s="2373" t="s">
        <v>2095</v>
      </c>
      <c r="H5" s="2365"/>
      <c r="I5" s="2365"/>
      <c r="J5" s="2365"/>
      <c r="K5" s="2365"/>
      <c r="L5" s="2365"/>
      <c r="M5" s="2365"/>
      <c r="N5" s="2365"/>
      <c r="O5" s="2365"/>
      <c r="P5" s="2365"/>
      <c r="Q5" s="2365"/>
      <c r="R5" s="2365"/>
    </row>
    <row r="6" spans="1:29" ht="54">
      <c r="A6" s="431"/>
      <c r="B6" s="1798" t="s">
        <v>2096</v>
      </c>
      <c r="C6" s="2373" t="s">
        <v>2091</v>
      </c>
      <c r="D6" s="2368"/>
      <c r="E6" s="2372"/>
      <c r="F6" s="1798" t="s">
        <v>2097</v>
      </c>
      <c r="G6" s="2373" t="s">
        <v>2098</v>
      </c>
      <c r="H6" s="2365"/>
      <c r="I6" s="2365"/>
      <c r="J6" s="2365"/>
      <c r="K6" s="2365"/>
      <c r="L6" s="2365"/>
      <c r="M6" s="2365"/>
      <c r="N6" s="2365"/>
      <c r="O6" s="2365"/>
      <c r="P6" s="2365"/>
      <c r="Q6" s="2365"/>
      <c r="R6" s="2365"/>
    </row>
    <row r="7" spans="1:29" ht="41.25" thickBot="1">
      <c r="A7" s="431"/>
      <c r="B7" s="1798"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8" t="s">
        <v>2097</v>
      </c>
      <c r="C8" s="2373" t="s">
        <v>2098</v>
      </c>
      <c r="D8" s="2374"/>
      <c r="E8" s="2374"/>
      <c r="F8" s="1135"/>
      <c r="G8" s="1135"/>
      <c r="H8" s="2365"/>
      <c r="I8" s="2365"/>
      <c r="J8" s="2365"/>
      <c r="K8" s="2365"/>
      <c r="L8" s="2365"/>
      <c r="M8" s="2365"/>
      <c r="N8" s="2365"/>
      <c r="O8" s="2365"/>
      <c r="P8" s="2365"/>
      <c r="Q8" s="2365"/>
      <c r="R8" s="2365"/>
    </row>
    <row r="9" spans="1:29" ht="27">
      <c r="A9" s="431"/>
      <c r="B9" s="1798" t="s">
        <v>2101</v>
      </c>
      <c r="C9" s="2371" t="s">
        <v>2102</v>
      </c>
      <c r="D9" s="2368"/>
      <c r="E9" s="2374"/>
      <c r="F9" s="1135"/>
      <c r="G9" s="1135"/>
      <c r="H9" s="2365"/>
      <c r="I9" s="2365"/>
      <c r="J9" s="2365"/>
      <c r="K9" s="2365"/>
      <c r="L9" s="2365"/>
      <c r="M9" s="2365"/>
      <c r="N9" s="2365"/>
      <c r="O9" s="2365"/>
      <c r="P9" s="2365"/>
      <c r="Q9" s="2365"/>
      <c r="R9" s="2365"/>
    </row>
    <row r="10" spans="1:29" s="117" customFormat="1" ht="15.75" thickBot="1">
      <c r="A10" s="2378"/>
      <c r="B10" s="2379" t="s">
        <v>2103</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9" t="s">
        <v>2084</v>
      </c>
      <c r="C15" s="2400" t="str">
        <f>C3</f>
        <v>估价对象周边居住用地比例、居住小区规模和社区发展完善程度，综合评价居住社区成熟度一般</v>
      </c>
      <c r="D15" s="2368"/>
      <c r="E15" s="2401" t="s">
        <v>2108</v>
      </c>
      <c r="F15" s="1269"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72"/>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72"/>
      <c r="D19" s="2368"/>
      <c r="E19" s="2404"/>
      <c r="F19" s="1798"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8" t="s">
        <v>2113</v>
      </c>
      <c r="G20" s="136" t="str">
        <f>G6</f>
        <v>估价对象所在区域基础设施水平</v>
      </c>
    </row>
    <row r="21" spans="1:18" ht="28.5">
      <c r="A21" s="645"/>
      <c r="B21" s="1798" t="s">
        <v>2094</v>
      </c>
      <c r="C21" s="136" t="str">
        <f>C7</f>
        <v>估价对象所在区域公共配套设施齐备情况</v>
      </c>
      <c r="D21" s="2368"/>
      <c r="E21" s="2404"/>
      <c r="F21" s="2405" t="s">
        <v>2114</v>
      </c>
      <c r="G21" s="2406"/>
    </row>
    <row r="22" spans="1:18" ht="13.5" customHeight="1">
      <c r="A22" s="645"/>
      <c r="B22" s="1798" t="s">
        <v>2097</v>
      </c>
      <c r="C22" s="136" t="str">
        <f>C8</f>
        <v>估价对象所在区域基础设施水平</v>
      </c>
      <c r="D22" s="2368"/>
      <c r="E22" s="2404"/>
      <c r="F22" s="2405" t="s">
        <v>2103</v>
      </c>
      <c r="G22" s="1572"/>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1141.77</v>
      </c>
      <c r="C1" s="1745"/>
      <c r="D1" s="1745"/>
      <c r="E1" s="1745"/>
      <c r="F1" s="1745"/>
      <c r="G1" s="1743"/>
    </row>
    <row r="2" spans="1:10" ht="16.5">
      <c r="A2" s="1746" t="s">
        <v>1354</v>
      </c>
      <c r="B2" s="1746">
        <f>SUM(C14:C23)</f>
        <v>0</v>
      </c>
      <c r="C2" s="1745"/>
      <c r="D2" s="1745"/>
      <c r="E2" s="1745"/>
      <c r="F2" s="1745"/>
      <c r="G2" s="1743"/>
    </row>
    <row r="3" spans="1:10" ht="16.5">
      <c r="A3" s="1746" t="s">
        <v>1363</v>
      </c>
      <c r="B3" s="1747">
        <f>项目基本情况!D3</f>
        <v>43102</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483</v>
      </c>
      <c r="C5" s="1746">
        <f ca="1">ROUND(B5*10000/$B$1,0)</f>
        <v>4230</v>
      </c>
      <c r="D5" s="1746" t="e">
        <f ca="1">ROUND(B5*10000/$B$2,0)</f>
        <v>#DIV/0!</v>
      </c>
      <c r="E5" s="1745"/>
      <c r="F5" s="1743"/>
      <c r="G5" s="1743"/>
    </row>
    <row r="6" spans="1:10" ht="16.5">
      <c r="A6" s="1746" t="s">
        <v>1357</v>
      </c>
      <c r="B6" s="1746">
        <f ca="1">SUM(G14:G23)</f>
        <v>483</v>
      </c>
      <c r="C6" s="1746">
        <f ca="1">ROUND(B6*10000/$B$1,0)</f>
        <v>4230</v>
      </c>
      <c r="D6" s="1746" t="e">
        <f ca="1">ROUND(B6*10000/$B$2,0)</f>
        <v>#DIV/0!</v>
      </c>
      <c r="E6" s="1745"/>
      <c r="F6" s="1743"/>
      <c r="G6" s="1743"/>
    </row>
    <row r="7" spans="1:10" ht="16.5">
      <c r="A7" s="1746" t="s">
        <v>1365</v>
      </c>
      <c r="B7" s="1746">
        <f>SUM(H14:H23)</f>
        <v>0</v>
      </c>
      <c r="C7" s="1746">
        <f>ROUND(B7*10000/$B$1,0)</f>
        <v>0</v>
      </c>
      <c r="D7" s="1746" t="e">
        <f>ROUND(B7*10000/$B$2,0)</f>
        <v>#DIV/0!</v>
      </c>
      <c r="E7" s="1745"/>
      <c r="F7" s="1743"/>
      <c r="G7" s="1743"/>
    </row>
    <row r="8" spans="1:10" ht="16.5">
      <c r="A8" s="1746" t="s">
        <v>1286</v>
      </c>
      <c r="B8" s="1746">
        <f>SUM(I14:I23)</f>
        <v>0</v>
      </c>
      <c r="C8" s="1746">
        <f>ROUND(B8*10000/$B$1,0)</f>
        <v>0</v>
      </c>
      <c r="D8" s="1746" t="e">
        <f>ROUND(B8*10000/$B$2,0)</f>
        <v>#DIV/0!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1141.77</v>
      </c>
      <c r="C14" s="1744">
        <f>结果表!C118</f>
        <v>0</v>
      </c>
      <c r="D14" s="1744">
        <f ca="1">结果表!H118</f>
        <v>483</v>
      </c>
      <c r="E14" s="1744">
        <f ca="1">ROUND(D14*10000/B14,0)</f>
        <v>4230</v>
      </c>
      <c r="F14" s="1744" t="e">
        <f ca="1">ROUND(D14*10000/C14,0)</f>
        <v>#DIV/0!</v>
      </c>
      <c r="G14" s="1744">
        <f ca="1">结果表!D122</f>
        <v>483</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2117</v>
      </c>
      <c r="B1" s="2416"/>
      <c r="C1" s="2417"/>
      <c r="D1" s="2416"/>
      <c r="E1" s="2416"/>
      <c r="F1" s="2418" t="s">
        <v>2118</v>
      </c>
      <c r="G1" s="2072" t="s">
        <v>3068</v>
      </c>
      <c r="H1" s="2419" t="str">
        <f>IF(G1="现房","——","估价对象范围")</f>
        <v>——</v>
      </c>
      <c r="I1" s="2420"/>
    </row>
    <row r="2" spans="1:12" ht="21.75" customHeight="1" thickBot="1">
      <c r="A2" s="3112" t="str">
        <f>项目基本情况!S2</f>
        <v>西城区西直门外大街1号院2号楼17层19C5-19C13房地产</v>
      </c>
      <c r="B2" s="3113"/>
      <c r="C2" s="3113"/>
      <c r="D2" s="3113"/>
      <c r="E2" s="3113"/>
      <c r="F2" s="3113"/>
      <c r="G2" s="3113"/>
      <c r="H2" s="3113"/>
      <c r="I2" s="3114"/>
    </row>
    <row r="3" spans="1:12" ht="12.75">
      <c r="A3" s="3115" t="s">
        <v>2119</v>
      </c>
      <c r="B3" s="3116"/>
      <c r="C3" s="3116"/>
      <c r="D3" s="3116"/>
      <c r="E3" s="3116"/>
      <c r="F3" s="3116"/>
      <c r="G3" s="3116"/>
      <c r="H3" s="3116"/>
      <c r="I3" s="3116"/>
    </row>
    <row r="4" spans="1:12" ht="14.25">
      <c r="A4" s="2423" t="s">
        <v>2120</v>
      </c>
      <c r="B4" s="2424" t="s">
        <v>2121</v>
      </c>
      <c r="C4" s="2425" t="s">
        <v>3116</v>
      </c>
      <c r="D4" s="2425" t="s">
        <v>3091</v>
      </c>
      <c r="E4" s="3096" t="s">
        <v>2122</v>
      </c>
      <c r="F4" s="3109"/>
      <c r="G4" s="3109"/>
      <c r="H4" s="3109"/>
      <c r="I4" s="3097"/>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87" t="s">
        <v>2123</v>
      </c>
      <c r="B5" s="3013">
        <v>25</v>
      </c>
      <c r="C5" s="3117"/>
      <c r="D5" s="3105"/>
      <c r="E5" s="140" t="s">
        <v>2124</v>
      </c>
      <c r="F5" s="2427"/>
      <c r="G5" s="2427"/>
      <c r="H5" s="2427"/>
      <c r="I5" s="1834"/>
    </row>
    <row r="6" spans="1:12" ht="12.75">
      <c r="A6" s="3087"/>
      <c r="B6" s="3013"/>
      <c r="C6" s="3119"/>
      <c r="D6" s="3105"/>
      <c r="E6" s="140" t="s">
        <v>2125</v>
      </c>
      <c r="F6" s="2427"/>
      <c r="G6" s="2427"/>
      <c r="H6" s="2427"/>
      <c r="I6" s="1834"/>
    </row>
    <row r="7" spans="1:12" ht="12.75">
      <c r="A7" s="3087"/>
      <c r="B7" s="3013"/>
      <c r="C7" s="3118"/>
      <c r="D7" s="3105"/>
      <c r="E7" s="140" t="s">
        <v>2126</v>
      </c>
      <c r="F7" s="2427"/>
      <c r="G7" s="2427"/>
      <c r="H7" s="2427"/>
      <c r="I7" s="1834"/>
    </row>
    <row r="8" spans="1:12" ht="12.75">
      <c r="A8" s="3087" t="s">
        <v>2127</v>
      </c>
      <c r="B8" s="3013">
        <v>15</v>
      </c>
      <c r="C8" s="3117"/>
      <c r="D8" s="3105"/>
      <c r="E8" s="140" t="s">
        <v>2128</v>
      </c>
      <c r="F8" s="2427"/>
      <c r="G8" s="2427"/>
      <c r="H8" s="2427"/>
      <c r="I8" s="1834"/>
    </row>
    <row r="9" spans="1:12" ht="12.75">
      <c r="A9" s="3087"/>
      <c r="B9" s="3013"/>
      <c r="C9" s="3118"/>
      <c r="D9" s="3105"/>
      <c r="E9" s="140" t="s">
        <v>2129</v>
      </c>
      <c r="F9" s="2427"/>
      <c r="G9" s="2427"/>
      <c r="H9" s="2427"/>
      <c r="I9" s="1834"/>
    </row>
    <row r="10" spans="1:12" ht="12.75">
      <c r="A10" s="3087" t="s">
        <v>2130</v>
      </c>
      <c r="B10" s="3013">
        <v>15</v>
      </c>
      <c r="C10" s="3117"/>
      <c r="D10" s="3105"/>
      <c r="E10" s="140" t="s">
        <v>2131</v>
      </c>
      <c r="F10" s="2427"/>
      <c r="G10" s="2427"/>
      <c r="H10" s="2427"/>
      <c r="I10" s="1834"/>
    </row>
    <row r="11" spans="1:12" ht="12.75">
      <c r="A11" s="3087"/>
      <c r="B11" s="3013"/>
      <c r="C11" s="3118"/>
      <c r="D11" s="3105"/>
      <c r="E11" s="140" t="s">
        <v>2132</v>
      </c>
      <c r="F11" s="2427"/>
      <c r="G11" s="2427"/>
      <c r="H11" s="2427"/>
      <c r="I11" s="1834"/>
    </row>
    <row r="12" spans="1:12" ht="12.75">
      <c r="A12" s="3087" t="s">
        <v>2133</v>
      </c>
      <c r="B12" s="3013">
        <v>15</v>
      </c>
      <c r="C12" s="3117"/>
      <c r="D12" s="3105"/>
      <c r="E12" s="140" t="s">
        <v>2134</v>
      </c>
      <c r="F12" s="2427"/>
      <c r="G12" s="2427"/>
      <c r="H12" s="2427"/>
      <c r="I12" s="1834"/>
    </row>
    <row r="13" spans="1:12" ht="12.75">
      <c r="A13" s="3087"/>
      <c r="B13" s="3013"/>
      <c r="C13" s="3118"/>
      <c r="D13" s="3105"/>
      <c r="E13" s="140" t="s">
        <v>2135</v>
      </c>
      <c r="F13" s="2427"/>
      <c r="G13" s="2427"/>
      <c r="H13" s="2427"/>
      <c r="I13" s="1834"/>
    </row>
    <row r="14" spans="1:12" ht="12.75">
      <c r="A14" s="3087" t="s">
        <v>2136</v>
      </c>
      <c r="B14" s="3013">
        <v>30</v>
      </c>
      <c r="C14" s="3117">
        <v>5</v>
      </c>
      <c r="D14" s="3105">
        <v>5</v>
      </c>
      <c r="E14" s="140" t="s">
        <v>2137</v>
      </c>
      <c r="F14" s="2427"/>
      <c r="G14" s="2427"/>
      <c r="H14" s="2427"/>
      <c r="I14" s="1834"/>
    </row>
    <row r="15" spans="1:12" ht="12.75">
      <c r="A15" s="3087"/>
      <c r="B15" s="3013"/>
      <c r="C15" s="3119"/>
      <c r="D15" s="3105"/>
      <c r="E15" s="140" t="s">
        <v>2138</v>
      </c>
      <c r="F15" s="2427"/>
      <c r="G15" s="2427"/>
      <c r="H15" s="2427"/>
      <c r="I15" s="1834"/>
    </row>
    <row r="16" spans="1:12" ht="12.75">
      <c r="A16" s="3087"/>
      <c r="B16" s="3013"/>
      <c r="C16" s="3118"/>
      <c r="D16" s="3105"/>
      <c r="E16" s="140" t="s">
        <v>2139</v>
      </c>
      <c r="F16" s="2427"/>
      <c r="G16" s="2427"/>
      <c r="H16" s="2427"/>
      <c r="I16" s="1834"/>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1141.77</v>
      </c>
      <c r="M18" s="2426">
        <f>IF(C1="",'数据-汇总表'!E3,SUMIF(项目类型,C1,'数据-汇总表'!E17:E26))</f>
        <v>1141.77</v>
      </c>
    </row>
    <row r="19" spans="1:35" ht="15">
      <c r="A19" s="2432" t="s">
        <v>2145</v>
      </c>
      <c r="B19" s="2433" t="s">
        <v>2146</v>
      </c>
      <c r="C19" s="143">
        <f ca="1">SUMIF(INDIRECT("'"&amp;C4&amp;"'"&amp;"!A:A"),结果表!B19,INDIRECT("'"&amp;C4&amp;"'"&amp;"!B:B"))</f>
        <v>498</v>
      </c>
      <c r="D19" s="144">
        <f ca="1">SUMIF(INDIRECT("'"&amp;D4&amp;"'"&amp;"!A:A"),结果表!B19,INDIRECT("'"&amp;D4&amp;"'"&amp;"!B:B"))</f>
        <v>467</v>
      </c>
      <c r="E19" s="2432" t="s">
        <v>2147</v>
      </c>
      <c r="F19" s="2433" t="s">
        <v>2146</v>
      </c>
      <c r="G19" s="145">
        <f ca="1">ROUND(C19*$C$18+D19*$D$18,0)</f>
        <v>483</v>
      </c>
      <c r="H19" s="2434" t="s">
        <v>2148</v>
      </c>
      <c r="I19" s="138"/>
      <c r="K19" s="2426" t="s">
        <v>2149</v>
      </c>
      <c r="L19" s="2426">
        <f>IF(C1="",'数据-汇总表'!D3,SUMIF(项目类型,C1,'数据-汇总表'!D17:D26)+SUMIF(项目类型,C1,'数据-汇总表'!H17:H27))</f>
        <v>0</v>
      </c>
      <c r="M19" s="2426">
        <f>IF(C1="",'数据-汇总表'!D3,SUMIF(项目类型,C1,'数据-汇总表'!D17:D26))</f>
        <v>0</v>
      </c>
    </row>
    <row r="20" spans="1:35" ht="15">
      <c r="A20" s="2435"/>
      <c r="B20" s="1249" t="s">
        <v>2150</v>
      </c>
      <c r="C20" s="146">
        <f ca="1">SUMIF(INDIRECT("'"&amp;C4&amp;"'"&amp;"!A:A"),结果表!B20,INDIRECT("'"&amp;C4&amp;"'"&amp;"!B:B"))</f>
        <v>48064</v>
      </c>
      <c r="D20" s="147">
        <f ca="1">SUMIF(INDIRECT("'"&amp;D4&amp;"'"&amp;"!A:A"),结果表!B20,INDIRECT("'"&amp;D4&amp;"'"&amp;"!B:B"))</f>
        <v>45108</v>
      </c>
      <c r="E20" s="2435"/>
      <c r="F20" s="1249" t="s">
        <v>2150</v>
      </c>
      <c r="G20" s="148">
        <f ca="1">ROUND(C20*$C$18+D20*$D$18,0)</f>
        <v>46586</v>
      </c>
      <c r="H20" s="982" t="s">
        <v>2151</v>
      </c>
      <c r="I20" s="138"/>
    </row>
    <row r="21" spans="1:35" ht="15" customHeight="1" thickBot="1">
      <c r="A21" s="1002"/>
      <c r="B21" s="2436" t="s">
        <v>2152</v>
      </c>
      <c r="C21" s="789" t="e">
        <f ca="1">ROUND(C19*10000/L19,0)</f>
        <v>#DIV/0!</v>
      </c>
      <c r="D21" s="790" t="e">
        <f ca="1">ROUND(D19*10000/L19,0)</f>
        <v>#DIV/0!</v>
      </c>
      <c r="E21" s="1002"/>
      <c r="F21" s="2436" t="s">
        <v>2152</v>
      </c>
      <c r="G21" s="149" t="e">
        <f ca="1">ROUND(G19*10000/L19,0)</f>
        <v>#DIV/0!</v>
      </c>
      <c r="H21" s="2437" t="s">
        <v>2151</v>
      </c>
      <c r="I21" s="138"/>
    </row>
    <row r="22" spans="1:35" ht="15" thickBot="1">
      <c r="A22" s="2278" t="s">
        <v>2153</v>
      </c>
      <c r="B22" s="2438"/>
      <c r="C22" s="2439"/>
      <c r="D22" s="791">
        <f ca="1">IF(C19&lt;D19,D19/C19-1,C19/D19-1)</f>
        <v>6.6381156316916545E-2</v>
      </c>
      <c r="E22" s="138"/>
      <c r="F22" s="138"/>
      <c r="G22" s="138"/>
      <c r="H22" s="138"/>
      <c r="I22" s="138"/>
    </row>
    <row r="23" spans="1:35" ht="13.5" thickBot="1">
      <c r="A23" s="2416"/>
      <c r="B23" s="2416"/>
      <c r="C23" s="2416"/>
      <c r="D23" s="2416"/>
      <c r="E23" s="138"/>
      <c r="F23" s="138"/>
      <c r="G23" s="138"/>
      <c r="H23" s="138"/>
      <c r="I23" s="138"/>
    </row>
    <row r="24" spans="1:35" ht="14.25">
      <c r="A24" s="3126" t="s">
        <v>2154</v>
      </c>
      <c r="B24" s="2433" t="s">
        <v>2146</v>
      </c>
      <c r="C24" s="145">
        <f>IF(B30=0,0,D30)</f>
        <v>0</v>
      </c>
      <c r="D24" s="2440"/>
      <c r="E24" s="138"/>
      <c r="F24" s="138"/>
      <c r="G24" s="138"/>
      <c r="H24" s="138"/>
      <c r="I24" s="138"/>
    </row>
    <row r="25" spans="1:35" ht="14.25">
      <c r="A25" s="3127"/>
      <c r="B25" s="1249"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42" t="s">
        <v>3041</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483</v>
      </c>
      <c r="D32" s="2447" t="s">
        <v>2161</v>
      </c>
      <c r="E32" s="138"/>
      <c r="F32" s="138"/>
      <c r="G32" s="138"/>
      <c r="H32" s="138"/>
      <c r="I32" s="138"/>
    </row>
    <row r="33" spans="1:15" ht="15">
      <c r="A33" s="959" t="s">
        <v>2162</v>
      </c>
      <c r="B33" s="2448"/>
      <c r="C33" s="2449"/>
      <c r="D33" s="2450"/>
      <c r="E33" s="2451" t="s">
        <v>2163</v>
      </c>
      <c r="F33" s="2452" t="str">
        <f>IF(D32="楼面单价","取值（单价）","取值（总价）")</f>
        <v>取值（总价）</v>
      </c>
      <c r="G33" s="138"/>
      <c r="H33" s="138"/>
      <c r="I33" s="138"/>
    </row>
    <row r="34" spans="1:15" ht="15">
      <c r="A34" s="2453"/>
      <c r="B34" s="2454" t="s">
        <v>2164</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2165</v>
      </c>
      <c r="F34" s="1739"/>
      <c r="G34" s="138"/>
      <c r="H34" s="138"/>
      <c r="I34" s="138"/>
    </row>
    <row r="35" spans="1:15" ht="15.75" thickBot="1">
      <c r="A35" s="2456"/>
      <c r="B35" s="2457" t="s">
        <v>2166</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2167</v>
      </c>
      <c r="F35" s="163"/>
      <c r="G35" s="138"/>
      <c r="H35" s="138"/>
      <c r="I35" s="138"/>
    </row>
    <row r="36" spans="1:15" ht="15.75" thickBot="1">
      <c r="A36" s="3106" t="s">
        <v>2168</v>
      </c>
      <c r="B36" s="2459" t="s">
        <v>2169</v>
      </c>
      <c r="C36" s="154"/>
      <c r="D36" s="2460"/>
      <c r="E36" s="2461"/>
      <c r="F36" s="2462"/>
      <c r="G36" s="138"/>
      <c r="H36" s="138"/>
      <c r="I36" s="138"/>
    </row>
    <row r="37" spans="1:15" ht="15.75" thickBot="1">
      <c r="A37" s="3107"/>
      <c r="B37" s="2264" t="s">
        <v>2170</v>
      </c>
      <c r="C37" s="156"/>
      <c r="D37" s="1394"/>
      <c r="E37" s="1394"/>
      <c r="F37" s="2462"/>
      <c r="G37" s="138"/>
      <c r="H37" s="138"/>
      <c r="I37" s="138"/>
    </row>
    <row r="38" spans="1:15" ht="15.75" thickBot="1">
      <c r="A38" s="3108"/>
      <c r="B38" s="2463" t="s">
        <v>2171</v>
      </c>
      <c r="C38" s="727"/>
      <c r="D38" s="2464" t="s">
        <v>2172</v>
      </c>
      <c r="E38" s="1394"/>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123" t="s">
        <v>2182</v>
      </c>
      <c r="B45" s="3124"/>
      <c r="C45" s="3125"/>
      <c r="D45" s="164">
        <f ca="1">ROUND(H101*F45,0)</f>
        <v>483</v>
      </c>
      <c r="E45" s="165" t="s">
        <v>2183</v>
      </c>
      <c r="F45" s="166">
        <v>1</v>
      </c>
      <c r="G45" s="167" t="s">
        <v>2184</v>
      </c>
      <c r="H45" s="138"/>
      <c r="I45" s="138"/>
      <c r="J45" s="3042" t="s">
        <v>2185</v>
      </c>
      <c r="K45" s="3042"/>
      <c r="L45" s="3042"/>
      <c r="M45" s="3042"/>
      <c r="N45" s="3042"/>
      <c r="O45" s="3042"/>
    </row>
    <row r="46" spans="1:15" ht="14.25" customHeight="1">
      <c r="A46" s="3120" t="s">
        <v>2186</v>
      </c>
      <c r="B46" s="3121"/>
      <c r="C46" s="3121"/>
      <c r="D46" s="3121"/>
      <c r="E46" s="3121"/>
      <c r="F46" s="3121"/>
      <c r="G46" s="3122"/>
      <c r="H46" s="2478"/>
      <c r="I46" s="168"/>
      <c r="J46" s="1812">
        <v>1</v>
      </c>
      <c r="K46" s="3042" t="s">
        <v>2187</v>
      </c>
      <c r="L46" s="3042"/>
      <c r="M46" s="3043"/>
      <c r="N46" s="3043"/>
      <c r="O46" s="3043"/>
    </row>
    <row r="47" spans="1:15" ht="12" customHeight="1">
      <c r="A47" s="169" t="s">
        <v>2188</v>
      </c>
      <c r="B47" s="170"/>
      <c r="C47" s="171"/>
      <c r="D47" s="172" t="s">
        <v>2189</v>
      </c>
      <c r="E47" s="24" t="s">
        <v>2190</v>
      </c>
      <c r="F47" s="173" t="s">
        <v>2191</v>
      </c>
      <c r="G47" s="174" t="s">
        <v>2192</v>
      </c>
      <c r="H47" s="2478"/>
      <c r="I47" s="168"/>
      <c r="J47" s="1812">
        <v>2</v>
      </c>
      <c r="K47" s="3042" t="s">
        <v>2193</v>
      </c>
      <c r="L47" s="3042"/>
      <c r="M47" s="3044">
        <f>'数据-取费表'!B2</f>
        <v>43102</v>
      </c>
      <c r="N47" s="3044"/>
      <c r="O47" s="3044"/>
    </row>
    <row r="48" spans="1:15" ht="25.5">
      <c r="A48" s="3110" t="s">
        <v>2194</v>
      </c>
      <c r="B48" s="3111"/>
      <c r="C48" s="3111"/>
      <c r="D48" s="140">
        <f>IF(H48="情况1",0,IF(H48="情况2",D52,IF(H48="情况3",D53,IF(H48="情况4",D54))))</f>
        <v>0</v>
      </c>
      <c r="E48" s="1801" t="str">
        <f>IF(H48="情况4","(销售额-原购置价)×税（费）率","销售额×税（费）率")</f>
        <v>销售额×税（费）率</v>
      </c>
      <c r="F48" s="175" t="str">
        <f>IF(H48="情况1","免征",'数据-取费表'!B41)</f>
        <v>免征</v>
      </c>
      <c r="G48" s="2479" t="s">
        <v>2195</v>
      </c>
      <c r="H48" s="2480" t="s">
        <v>2196</v>
      </c>
      <c r="I48" s="2478"/>
      <c r="J48" s="1812">
        <v>3</v>
      </c>
      <c r="K48" s="3042" t="s">
        <v>2197</v>
      </c>
      <c r="L48" s="3042"/>
      <c r="M48" s="3045">
        <f ca="1">H101</f>
        <v>483</v>
      </c>
      <c r="N48" s="3045"/>
      <c r="O48" s="3045"/>
    </row>
    <row r="49" spans="1:35" ht="25.5" customHeight="1">
      <c r="A49" s="176" t="s">
        <v>2198</v>
      </c>
      <c r="B49" s="3090" t="s">
        <v>2199</v>
      </c>
      <c r="C49" s="3090"/>
      <c r="D49" s="177">
        <v>0</v>
      </c>
      <c r="E49" s="23" t="s">
        <v>2200</v>
      </c>
      <c r="F49" s="28" t="s">
        <v>34</v>
      </c>
      <c r="G49" s="3071"/>
      <c r="H49" s="138"/>
      <c r="I49" s="2481"/>
      <c r="J49" s="1812">
        <v>4</v>
      </c>
      <c r="K49" s="3042" t="str">
        <f>IF(项目基本情况!E8="房地产抵押价值","房地产抵押价值","抵押担保权已注销时的房地产抵押价值")</f>
        <v>房地产抵押价值</v>
      </c>
      <c r="L49" s="3042"/>
      <c r="M49" s="3045">
        <f ca="1">IF(项目基本情况!E8="房地产抵押价值",H107,H109)</f>
        <v>483</v>
      </c>
      <c r="N49" s="3045"/>
      <c r="O49" s="3045"/>
    </row>
    <row r="50" spans="1:35" ht="25.5" customHeight="1">
      <c r="A50" s="178"/>
      <c r="B50" s="3090" t="s">
        <v>2201</v>
      </c>
      <c r="C50" s="3090"/>
      <c r="D50" s="179"/>
      <c r="E50" s="31"/>
      <c r="F50" s="180"/>
      <c r="G50" s="3072"/>
      <c r="H50" s="138"/>
      <c r="I50" s="2481"/>
      <c r="J50" s="3042" t="s">
        <v>2202</v>
      </c>
      <c r="K50" s="3042"/>
      <c r="L50" s="3042"/>
      <c r="M50" s="3042"/>
      <c r="N50" s="3042"/>
      <c r="O50" s="3042"/>
    </row>
    <row r="51" spans="1:35" ht="12" customHeight="1">
      <c r="A51" s="181"/>
      <c r="B51" s="3090" t="s">
        <v>2203</v>
      </c>
      <c r="C51" s="3090"/>
      <c r="D51" s="182"/>
      <c r="E51" s="30"/>
      <c r="F51" s="180"/>
      <c r="G51" s="3073"/>
      <c r="H51" s="138"/>
      <c r="I51" s="2481"/>
      <c r="J51" s="2482" t="s">
        <v>2204</v>
      </c>
      <c r="K51" s="3042" t="s">
        <v>2205</v>
      </c>
      <c r="L51" s="3042"/>
      <c r="M51" s="2482" t="s">
        <v>2206</v>
      </c>
      <c r="N51" s="2482" t="s">
        <v>2207</v>
      </c>
      <c r="O51" s="2482" t="s">
        <v>2208</v>
      </c>
    </row>
    <row r="52" spans="1:35" ht="24" customHeight="1">
      <c r="A52" s="183" t="s">
        <v>2209</v>
      </c>
      <c r="B52" s="3090" t="s">
        <v>2210</v>
      </c>
      <c r="C52" s="3090"/>
      <c r="D52" s="182">
        <f ca="1">ROUND(D45*'数据-取费表'!B41/(1+'数据-取费表'!C42),0)</f>
        <v>26</v>
      </c>
      <c r="E52" s="11" t="s">
        <v>2211</v>
      </c>
      <c r="F52" s="184">
        <f>'数据-取费表'!B41</f>
        <v>5.6000000000000001E-2</v>
      </c>
      <c r="G52" s="2483"/>
      <c r="H52" s="138"/>
      <c r="I52" s="2481"/>
      <c r="J52" s="1812">
        <v>1</v>
      </c>
      <c r="K52" s="3065" t="s">
        <v>2212</v>
      </c>
      <c r="L52" s="3065"/>
      <c r="M52" s="1754">
        <f>D48</f>
        <v>0</v>
      </c>
      <c r="N52" s="1812" t="str">
        <f>E48</f>
        <v>销售额×税（费）率</v>
      </c>
      <c r="O52" s="1755" t="str">
        <f>F48</f>
        <v>免征</v>
      </c>
    </row>
    <row r="53" spans="1:35" ht="12" customHeight="1">
      <c r="A53" s="183" t="s">
        <v>2213</v>
      </c>
      <c r="B53" s="3091" t="s">
        <v>2214</v>
      </c>
      <c r="C53" s="3092"/>
      <c r="D53" s="182">
        <f ca="1">ROUND(D45*'数据-取费表'!B41/(1+'数据-取费表'!C42),0)</f>
        <v>26</v>
      </c>
      <c r="E53" s="11" t="s">
        <v>2211</v>
      </c>
      <c r="F53" s="184">
        <f>'数据-取费表'!B41</f>
        <v>5.6000000000000001E-2</v>
      </c>
      <c r="G53" s="2483"/>
      <c r="H53" s="138"/>
      <c r="I53" s="2481"/>
      <c r="J53" s="1812">
        <v>2</v>
      </c>
      <c r="K53" s="3065" t="s">
        <v>2215</v>
      </c>
      <c r="L53" s="3065"/>
      <c r="M53" s="1754">
        <f t="shared" ref="M53:O54" ca="1" si="0">D55</f>
        <v>0</v>
      </c>
      <c r="N53" s="1812" t="str">
        <f t="shared" si="0"/>
        <v>销售额×税（费）率</v>
      </c>
      <c r="O53" s="1755">
        <f t="shared" si="0"/>
        <v>5.0000000000000001E-4</v>
      </c>
    </row>
    <row r="54" spans="1:35" ht="12" customHeight="1">
      <c r="A54" s="183" t="s">
        <v>2216</v>
      </c>
      <c r="B54" s="3091" t="s">
        <v>2217</v>
      </c>
      <c r="C54" s="3092"/>
      <c r="D54" s="182">
        <f ca="1">C68</f>
        <v>26</v>
      </c>
      <c r="E54" s="30" t="s">
        <v>2218</v>
      </c>
      <c r="F54" s="184">
        <f>'数据-取费表'!B41</f>
        <v>5.6000000000000001E-2</v>
      </c>
      <c r="G54" s="2483"/>
      <c r="H54" s="2484"/>
      <c r="I54" s="2481"/>
      <c r="J54" s="1812">
        <v>3</v>
      </c>
      <c r="K54" s="3065" t="s">
        <v>2219</v>
      </c>
      <c r="L54" s="3065"/>
      <c r="M54" s="1754">
        <f t="shared" ca="1" si="0"/>
        <v>273</v>
      </c>
      <c r="N54" s="1812" t="str">
        <f t="shared" si="0"/>
        <v>增值额×税（费）率</v>
      </c>
      <c r="O54" s="1756" t="str">
        <f t="shared" si="0"/>
        <v>——</v>
      </c>
    </row>
    <row r="55" spans="1:35" ht="24" customHeight="1">
      <c r="A55" s="3129" t="s">
        <v>2220</v>
      </c>
      <c r="B55" s="3111"/>
      <c r="C55" s="3111"/>
      <c r="D55" s="185">
        <f ca="1">IF(H55="个人住宅",0,ROUND(D45*I55,0))</f>
        <v>0</v>
      </c>
      <c r="E55" s="11" t="s">
        <v>2221</v>
      </c>
      <c r="F55" s="184">
        <f>IF(H55="正常",I55,"免征")</f>
        <v>5.0000000000000001E-4</v>
      </c>
      <c r="G55" s="2483"/>
      <c r="H55" s="2480" t="s">
        <v>2222</v>
      </c>
      <c r="I55" s="186">
        <f>'数据-取费表'!B49</f>
        <v>5.0000000000000001E-4</v>
      </c>
      <c r="J55" s="1812" t="str">
        <f>IF(H59="非个人房产","",4)</f>
        <v/>
      </c>
      <c r="K55" s="3065" t="str">
        <f>IF(H59="非个人房产","——","个人所得税")</f>
        <v>——</v>
      </c>
      <c r="L55" s="3065"/>
      <c r="M55" s="1757" t="str">
        <f>D59</f>
        <v>——</v>
      </c>
      <c r="N55" s="1810" t="str">
        <f>E59</f>
        <v>——</v>
      </c>
      <c r="O55" s="1758" t="str">
        <f>F59</f>
        <v>——</v>
      </c>
    </row>
    <row r="56" spans="1:35" ht="24.75">
      <c r="A56" s="3129" t="s">
        <v>2223</v>
      </c>
      <c r="B56" s="3111"/>
      <c r="C56" s="3111"/>
      <c r="D56" s="185">
        <f ca="1">IF(H56="个人住宅",D57,D58)</f>
        <v>273</v>
      </c>
      <c r="E56" s="11" t="s">
        <v>2224</v>
      </c>
      <c r="F56" s="184" t="str">
        <f>IF(H56="正常",F58,"免征")</f>
        <v>——</v>
      </c>
      <c r="G56" s="2485" t="s">
        <v>2225</v>
      </c>
      <c r="H56" s="2486" t="s">
        <v>2222</v>
      </c>
      <c r="I56" s="2487"/>
      <c r="J56" s="1812" t="str">
        <f>IF(项目基本情况!K6="上海银行",IF(J55="",4,J55+1),"")</f>
        <v/>
      </c>
      <c r="K56" s="3048" t="str">
        <f>IF(项目基本情况!K6="上海银行","其他处置费用","")</f>
        <v/>
      </c>
      <c r="L56" s="3049"/>
      <c r="M56" s="1754" t="str">
        <f>IF(项目基本情况!K6="上海银行",M69,"")</f>
        <v/>
      </c>
      <c r="N56" s="3051" t="str">
        <f>IF(项目基本情况!K6="上海银行","包含处置中涉及的律师、诉讼、拍卖、评估等费用","")</f>
        <v/>
      </c>
      <c r="O56" s="3052"/>
    </row>
    <row r="57" spans="1:35" ht="12.75">
      <c r="A57" s="183" t="s">
        <v>2198</v>
      </c>
      <c r="B57" s="3096" t="s">
        <v>2226</v>
      </c>
      <c r="C57" s="3097"/>
      <c r="D57" s="187">
        <v>0</v>
      </c>
      <c r="E57" s="23" t="s">
        <v>2200</v>
      </c>
      <c r="F57" s="155"/>
      <c r="G57" s="2483"/>
      <c r="H57" s="2487"/>
      <c r="I57" s="2487"/>
      <c r="J57" s="3065">
        <f>IF(AND(J55="",J56=""),4,IF(项目基本情况!K6="上海银行",结果表!J56+1,结果表!J55+1))</f>
        <v>4</v>
      </c>
      <c r="K57" s="3065" t="s">
        <v>2227</v>
      </c>
      <c r="L57" s="2488" t="s">
        <v>2228</v>
      </c>
      <c r="M57" s="1759"/>
      <c r="N57" s="1760">
        <f ca="1">SUMIF(M52:M56,"&lt;9e307")</f>
        <v>273</v>
      </c>
      <c r="O57" s="2489"/>
      <c r="P57" s="1753">
        <f ca="1">N57/M49</f>
        <v>0.56521739130434778</v>
      </c>
    </row>
    <row r="58" spans="1:35" ht="24.75">
      <c r="A58" s="183" t="s">
        <v>2209</v>
      </c>
      <c r="B58" s="3096" t="s">
        <v>2229</v>
      </c>
      <c r="C58" s="3109"/>
      <c r="D58" s="185">
        <f ca="1">IF(H58="转让取得",C81,C97)</f>
        <v>273</v>
      </c>
      <c r="E58" s="11" t="s">
        <v>2224</v>
      </c>
      <c r="F58" s="24" t="s">
        <v>34</v>
      </c>
      <c r="G58" s="2483"/>
      <c r="H58" s="2486" t="s">
        <v>2230</v>
      </c>
      <c r="I58" s="2487"/>
      <c r="J58" s="3065"/>
      <c r="K58" s="3065"/>
      <c r="L58" s="2488" t="s">
        <v>2231</v>
      </c>
      <c r="M58" s="1761"/>
      <c r="N58" s="2490" t="str">
        <f ca="1">NUMBERSTRING(INT(N57*10000),2)&amp;"元整"</f>
        <v>贰佰柒拾叁万元整</v>
      </c>
      <c r="O58" s="2491"/>
    </row>
    <row r="59" spans="1:35" ht="24.75" thickBot="1">
      <c r="A59" s="3069" t="s">
        <v>2232</v>
      </c>
      <c r="B59" s="3070"/>
      <c r="C59" s="3070"/>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067">
        <f>J57+1</f>
        <v>5</v>
      </c>
      <c r="K59" s="3065" t="s">
        <v>2234</v>
      </c>
      <c r="L59" s="1812" t="s">
        <v>2228</v>
      </c>
      <c r="M59" s="1762"/>
      <c r="N59" s="1763">
        <f ca="1">M49-N57</f>
        <v>210</v>
      </c>
      <c r="O59" s="2493"/>
    </row>
    <row r="60" spans="1:35" ht="12" customHeight="1">
      <c r="A60" s="2494"/>
      <c r="B60" s="2416"/>
      <c r="C60" s="2416"/>
      <c r="D60" s="2416"/>
      <c r="E60" s="2165"/>
      <c r="F60" s="2487"/>
      <c r="G60" s="2487"/>
      <c r="H60" s="2495"/>
      <c r="I60" s="138"/>
      <c r="J60" s="3068"/>
      <c r="K60" s="3065"/>
      <c r="L60" s="2488" t="s">
        <v>2231</v>
      </c>
      <c r="M60" s="1761"/>
      <c r="N60" s="2490" t="str">
        <f ca="1">NUMBERSTRING(INT(N59*10000),2)&amp;"元整"</f>
        <v>贰佰壹拾万元整</v>
      </c>
      <c r="O60" s="2491"/>
    </row>
    <row r="61" spans="1:35" ht="13.5" thickBot="1">
      <c r="A61" s="3128" t="s">
        <v>2235</v>
      </c>
      <c r="B61" s="3128"/>
      <c r="C61" s="3128"/>
      <c r="D61" s="3128"/>
      <c r="E61" s="3128"/>
      <c r="F61" s="2487"/>
      <c r="G61" s="2487"/>
      <c r="H61" s="2495"/>
      <c r="I61" s="138"/>
      <c r="J61" s="1812">
        <f>J59+1</f>
        <v>6</v>
      </c>
      <c r="K61" s="3065" t="s">
        <v>2236</v>
      </c>
      <c r="L61" s="3065"/>
      <c r="M61" s="1764"/>
      <c r="N61" s="1765">
        <f ca="1">ROUND(N59*10000/'数据-汇总表'!E3,0)</f>
        <v>1839</v>
      </c>
      <c r="O61" s="2496"/>
    </row>
    <row r="62" spans="1:35" ht="12.75">
      <c r="A62" s="3085" t="s">
        <v>2237</v>
      </c>
      <c r="B62" s="3086"/>
      <c r="C62" s="1804"/>
      <c r="D62" s="1804" t="s">
        <v>2238</v>
      </c>
      <c r="E62" s="192" t="s">
        <v>2239</v>
      </c>
      <c r="F62" s="2487"/>
      <c r="G62" s="2487"/>
      <c r="H62" s="2495"/>
      <c r="I62" s="138"/>
    </row>
    <row r="63" spans="1:35" ht="12.75">
      <c r="A63" s="203" t="s">
        <v>775</v>
      </c>
      <c r="B63" s="193" t="s">
        <v>2240</v>
      </c>
      <c r="C63" s="194">
        <f ca="1">ROUND((C64+C65)/(1+'数据-取费表'!C42),0)</f>
        <v>460</v>
      </c>
      <c r="D63" s="195"/>
      <c r="E63" s="196"/>
      <c r="F63" s="2487"/>
      <c r="G63" s="2487"/>
      <c r="H63" s="2495"/>
      <c r="I63" s="138"/>
      <c r="J63" s="3050" t="s">
        <v>2241</v>
      </c>
      <c r="K63" s="2497" t="s">
        <v>2242</v>
      </c>
      <c r="L63" s="1752">
        <f ca="1">IF(M49&gt;10000,M49*0.5%,IF(AND(M49&gt;1000,M49&lt;=10000),M49*1%,IF(AND(M49&gt;100,M49&lt;=1000),M49*3%,IF(AND(M49&gt;10,M49&lt;=100),M49*5%,M49*8%))))</f>
        <v>14.49</v>
      </c>
      <c r="M63" s="24">
        <f ca="1">ROUND(L63,1)</f>
        <v>14.5</v>
      </c>
      <c r="Z63" s="2421"/>
      <c r="AI63" s="2422"/>
    </row>
    <row r="64" spans="1:35" ht="14.25" customHeight="1">
      <c r="A64" s="197" t="s">
        <v>770</v>
      </c>
      <c r="B64" s="198" t="s">
        <v>2243</v>
      </c>
      <c r="C64" s="199">
        <f ca="1">D45</f>
        <v>483</v>
      </c>
      <c r="D64" s="200" t="s">
        <v>32</v>
      </c>
      <c r="E64" s="201"/>
      <c r="F64" s="2487"/>
      <c r="G64" s="2487"/>
      <c r="H64" s="2495"/>
      <c r="I64" s="138"/>
      <c r="J64" s="3050"/>
      <c r="K64" s="2497" t="s">
        <v>2244</v>
      </c>
      <c r="L64" s="1752">
        <f ca="1">IF(M49&gt;2000,M49*0.5%,IF(AND(M49&gt;1000,M49&lt;=2000),M49*0.6%,IF(AND(M49&gt;500,M49&lt;=1000),M49*0.7%,IF(AND(M49&gt;200,M49&lt;=500),M49*0.8%,IF(AND(M49&gt;100,M49&lt;=200),M49*0.9%,IF(AND(M49&gt;50,M49&lt;=100),M49*1%,IF(AND(M49&gt;20,M49&lt;=50),M49*1.5%,IF(AND(M49&gt;10,M49&lt;=20),M49*2%,IF(AND(M49&gt;1,M49&lt;=10),M49*2.5%)))))))))</f>
        <v>3.8639999999999999</v>
      </c>
      <c r="M64" s="24">
        <f t="shared" ref="M64:M65" ca="1" si="1">ROUND(L64,1)</f>
        <v>3.9</v>
      </c>
      <c r="N64" s="138" t="s">
        <v>2245</v>
      </c>
      <c r="Z64" s="2421"/>
      <c r="AI64" s="2422"/>
    </row>
    <row r="65" spans="1:35" ht="14.25" customHeight="1">
      <c r="A65" s="197" t="s">
        <v>771</v>
      </c>
      <c r="B65" s="198" t="s">
        <v>2246</v>
      </c>
      <c r="C65" s="202"/>
      <c r="D65" s="200"/>
      <c r="E65" s="201"/>
      <c r="F65" s="2487"/>
      <c r="G65" s="2487"/>
      <c r="H65" s="2495"/>
      <c r="I65" s="138"/>
      <c r="J65" s="3050"/>
      <c r="K65" s="2497" t="s">
        <v>2247</v>
      </c>
      <c r="L65" s="1752">
        <f ca="1">IF(M49&gt;1000,M49*0.1%,IF(AND(M49&gt;500,M49&lt;=1000),M49*0.5%,IF(AND(M49&gt;50,M49&lt;=500),M49*1%,IF(AND(M49&gt;1,M49&lt;=50),M49*1.5%))))</f>
        <v>4.83</v>
      </c>
      <c r="M65" s="24">
        <f t="shared" ca="1" si="1"/>
        <v>4.8</v>
      </c>
      <c r="N65" s="138" t="s">
        <v>2245</v>
      </c>
      <c r="Z65" s="2421"/>
      <c r="AI65" s="2422"/>
    </row>
    <row r="66" spans="1:35" ht="14.25" customHeight="1">
      <c r="A66" s="203" t="s">
        <v>772</v>
      </c>
      <c r="B66" s="204" t="s">
        <v>2248</v>
      </c>
      <c r="C66" s="205"/>
      <c r="D66" s="206" t="s">
        <v>32</v>
      </c>
      <c r="E66" s="1776" t="s">
        <v>1372</v>
      </c>
      <c r="F66" s="2487"/>
      <c r="G66" s="2487"/>
      <c r="H66" s="2495"/>
      <c r="I66" s="138"/>
      <c r="J66" s="3050"/>
      <c r="K66" s="2497" t="s">
        <v>2249</v>
      </c>
      <c r="L66" s="1752">
        <f ca="1">M49*0.5%</f>
        <v>2.415</v>
      </c>
      <c r="M66" s="24">
        <f ca="1">IF(L66&gt;0.5,0.5,ROUND(L66,0))</f>
        <v>0.5</v>
      </c>
      <c r="N66" s="138" t="s">
        <v>2250</v>
      </c>
      <c r="Z66" s="2421"/>
      <c r="AI66" s="2422"/>
    </row>
    <row r="67" spans="1:35" ht="14.25" customHeight="1">
      <c r="A67" s="203" t="s">
        <v>773</v>
      </c>
      <c r="B67" s="204" t="s">
        <v>2251</v>
      </c>
      <c r="C67" s="207">
        <f ca="1">C63-C66</f>
        <v>460</v>
      </c>
      <c r="D67" s="200" t="s">
        <v>32</v>
      </c>
      <c r="E67" s="201"/>
      <c r="F67" s="2487"/>
      <c r="G67" s="2487"/>
      <c r="H67" s="2495"/>
      <c r="I67" s="138"/>
      <c r="J67" s="3050"/>
      <c r="K67" s="2497" t="s">
        <v>2252</v>
      </c>
      <c r="L67" s="1752">
        <f ca="1">IF(M49&gt;=10000,(8.25+(M49-10000)*0.01%),IF(AND(M49&gt;=8000,M49&lt;10000),(7.85+(M49-8000)*0.02%),IF(AND(M49&gt;=5000,M49&lt;8000),(6.65+(M49-5000)*0.04%),IF(AND(M49&gt;=2000,M49&lt;5000),(4.25+(PM49-2000)*0.08%),IF(AND(M49&gt;=1000,M49&lt;2000),(2.75+(M49-1000)*0.15%),IF(AND(M49&gt;=100,M49&lt;1000),(0.5+(M49-100)*0.25%),IF(AND(M49&gt;0,M49&lt;100),M49*0.5%)))))))</f>
        <v>1.4575</v>
      </c>
      <c r="M67" s="24">
        <f ca="1">ROUND(L67*0.9,1)</f>
        <v>1.3</v>
      </c>
      <c r="Z67" s="2421"/>
      <c r="AI67" s="2422"/>
    </row>
    <row r="68" spans="1:35" ht="14.25" customHeight="1" thickBot="1">
      <c r="A68" s="208" t="s">
        <v>774</v>
      </c>
      <c r="B68" s="209" t="s">
        <v>2253</v>
      </c>
      <c r="C68" s="210">
        <f ca="1">IF(C67&lt;=0,0,ROUND(C67*D68,0))</f>
        <v>26</v>
      </c>
      <c r="D68" s="211">
        <f>'数据-取费表'!B41</f>
        <v>5.6000000000000001E-2</v>
      </c>
      <c r="E68" s="212"/>
      <c r="F68" s="2487"/>
      <c r="G68" s="2487"/>
      <c r="H68" s="2495"/>
      <c r="I68" s="138"/>
      <c r="J68" s="3050"/>
      <c r="K68" s="2497" t="s">
        <v>2254</v>
      </c>
      <c r="L68" s="1752">
        <f ca="1">IF(M49&gt;10000,M49*0.5%,IF(AND(M49&gt;5000,M49&lt;=10000),M49*1%,IF(AND(M49&gt;1000,M49&lt;=5000),M49*2%,IF(AND(M49&gt;200,M49&lt;=1000),M49*3%,M49*5%))))</f>
        <v>14.49</v>
      </c>
      <c r="M68" s="24">
        <f ca="1">ROUND(L68,1)</f>
        <v>14.5</v>
      </c>
      <c r="Z68" s="2421"/>
      <c r="AI68" s="2422"/>
    </row>
    <row r="69" spans="1:35" s="2444" customFormat="1" ht="16.5" customHeight="1">
      <c r="A69" s="2498"/>
      <c r="B69" s="2499"/>
      <c r="C69" s="2500"/>
      <c r="D69" s="2501"/>
      <c r="E69" s="2502"/>
      <c r="F69" s="2165"/>
      <c r="G69" s="2165"/>
      <c r="H69" s="2164"/>
      <c r="I69" s="2416"/>
      <c r="J69" s="3050"/>
      <c r="K69" s="2497" t="s">
        <v>2255</v>
      </c>
      <c r="L69" s="2503"/>
      <c r="M69" s="24">
        <f ca="1">ROUND(SUM(M63:M68),0)</f>
        <v>40</v>
      </c>
      <c r="N69" s="1753">
        <f ca="1">M69/M49</f>
        <v>8.2815734989648032E-2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4" t="s">
        <v>2256</v>
      </c>
      <c r="B70" s="3095"/>
      <c r="C70" s="3095"/>
      <c r="D70" s="3095"/>
      <c r="E70" s="3095"/>
      <c r="F70" s="3095"/>
      <c r="G70" s="3095"/>
      <c r="H70" s="309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5" t="s">
        <v>2237</v>
      </c>
      <c r="B71" s="3086"/>
      <c r="C71" s="1804"/>
      <c r="D71" s="1804"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460</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091" t="s">
        <v>2265</v>
      </c>
      <c r="F76" s="3090"/>
      <c r="G76" s="3090"/>
      <c r="H76" s="309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3</v>
      </c>
      <c r="D78" s="226">
        <f>'数据-取费表'!B43</f>
        <v>6.000000000000001E-3</v>
      </c>
      <c r="E78" s="3082" t="s">
        <v>2270</v>
      </c>
      <c r="F78" s="3083"/>
      <c r="G78" s="3083"/>
      <c r="H78" s="308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457</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152.33333333333334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273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4" t="s">
        <v>2274</v>
      </c>
      <c r="B83" s="3095"/>
      <c r="C83" s="3095"/>
      <c r="D83" s="3095"/>
      <c r="E83" s="3095"/>
      <c r="F83" s="3095"/>
      <c r="G83" s="3095"/>
      <c r="H83" s="309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5" t="s">
        <v>2237</v>
      </c>
      <c r="B84" s="3086"/>
      <c r="C84" s="1804"/>
      <c r="D84" s="1804"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460</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800"/>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082" t="s">
        <v>2283</v>
      </c>
      <c r="F91" s="3083"/>
      <c r="G91" s="3083"/>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082" t="s">
        <v>2287</v>
      </c>
      <c r="F92" s="3083"/>
      <c r="G92" s="3083"/>
      <c r="H92" s="308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3</v>
      </c>
      <c r="D93" s="226">
        <f>'数据-取费表'!B43</f>
        <v>6.000000000000001E-3</v>
      </c>
      <c r="E93" s="3082" t="s">
        <v>2270</v>
      </c>
      <c r="F93" s="3083"/>
      <c r="G93" s="3083"/>
      <c r="H93" s="308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30" t="s">
        <v>2291</v>
      </c>
      <c r="F94" s="3131"/>
      <c r="G94" s="3131"/>
      <c r="H94" s="313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457</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152.33333333333334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273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2292</v>
      </c>
      <c r="B99" s="2416"/>
      <c r="C99" s="2416"/>
      <c r="D99" s="2416"/>
      <c r="E99" s="2165"/>
      <c r="F99" s="2165"/>
      <c r="G99" s="2165"/>
      <c r="H99" s="2164"/>
      <c r="I99" s="138"/>
    </row>
    <row r="100" spans="1:35" ht="18.75" customHeight="1">
      <c r="A100" s="3034" t="s">
        <v>2293</v>
      </c>
      <c r="B100" s="3035"/>
      <c r="C100" s="3035"/>
      <c r="D100" s="3066"/>
      <c r="E100" s="3035" t="s">
        <v>2294</v>
      </c>
      <c r="F100" s="3035"/>
      <c r="G100" s="3035"/>
      <c r="H100" s="3066"/>
      <c r="I100" s="138"/>
    </row>
    <row r="101" spans="1:35" ht="18.75" customHeight="1">
      <c r="A101" s="3074" t="s">
        <v>2295</v>
      </c>
      <c r="B101" s="3075"/>
      <c r="C101" s="736" t="str">
        <f>C4</f>
        <v>比较法-办公</v>
      </c>
      <c r="D101" s="737" t="str">
        <f>D4</f>
        <v>收益法</v>
      </c>
      <c r="E101" s="3046" t="s">
        <v>2296</v>
      </c>
      <c r="F101" s="3047"/>
      <c r="G101" s="2518" t="s">
        <v>2297</v>
      </c>
      <c r="H101" s="1047">
        <f ca="1">H118</f>
        <v>483</v>
      </c>
      <c r="I101" s="138"/>
    </row>
    <row r="102" spans="1:35" ht="18.75" customHeight="1">
      <c r="A102" s="3076" t="s">
        <v>2298</v>
      </c>
      <c r="B102" s="2518" t="s">
        <v>2297</v>
      </c>
      <c r="C102" s="736">
        <f ca="1">C19</f>
        <v>498</v>
      </c>
      <c r="D102" s="737">
        <f ca="1">D19</f>
        <v>467</v>
      </c>
      <c r="E102" s="3046"/>
      <c r="F102" s="3047"/>
      <c r="G102" s="2518" t="s">
        <v>2299</v>
      </c>
      <c r="H102" s="371">
        <f ca="1">I118</f>
        <v>4230</v>
      </c>
      <c r="I102" s="138"/>
    </row>
    <row r="103" spans="1:35" ht="42.75" customHeight="1">
      <c r="A103" s="3076"/>
      <c r="B103" s="2518" t="s">
        <v>2299</v>
      </c>
      <c r="C103" s="738">
        <f ca="1">C20</f>
        <v>48064</v>
      </c>
      <c r="D103" s="739">
        <f ca="1">D20</f>
        <v>45108</v>
      </c>
      <c r="E103" s="3040" t="s">
        <v>2300</v>
      </c>
      <c r="F103" s="3041"/>
      <c r="G103" s="2519" t="s">
        <v>2301</v>
      </c>
      <c r="H103" s="1047">
        <f>IF(D36="正常操作",H104+H105+H106,H105+H106)</f>
        <v>0</v>
      </c>
      <c r="I103" s="138"/>
    </row>
    <row r="104" spans="1:35" ht="18.75" customHeight="1">
      <c r="A104" s="3076" t="s">
        <v>2302</v>
      </c>
      <c r="B104" s="2520" t="s">
        <v>2297</v>
      </c>
      <c r="C104" s="740">
        <f ca="1">H118</f>
        <v>483</v>
      </c>
      <c r="D104" s="741"/>
      <c r="E104" s="2264" t="s">
        <v>2303</v>
      </c>
      <c r="F104" s="2256"/>
      <c r="G104" s="2519" t="s">
        <v>2301</v>
      </c>
      <c r="H104" s="1048">
        <f>IF(D36="同一抵押权人同一抵押物续贷",C36&amp;"（未扣减，详见特别提示）",C36)</f>
        <v>0</v>
      </c>
      <c r="I104" s="138"/>
    </row>
    <row r="105" spans="1:35" ht="18.75" customHeight="1" thickBot="1">
      <c r="A105" s="3088"/>
      <c r="B105" s="2521" t="s">
        <v>2299</v>
      </c>
      <c r="C105" s="742">
        <f ca="1">I118</f>
        <v>4230</v>
      </c>
      <c r="D105" s="743"/>
      <c r="E105" s="2264" t="s">
        <v>2304</v>
      </c>
      <c r="F105" s="2256"/>
      <c r="G105" s="2519" t="s">
        <v>2301</v>
      </c>
      <c r="H105" s="1048">
        <f>C37</f>
        <v>0</v>
      </c>
      <c r="I105" s="138"/>
    </row>
    <row r="106" spans="1:35" ht="18.75" customHeight="1">
      <c r="A106" s="2416" t="s">
        <v>2305</v>
      </c>
      <c r="B106" s="2416"/>
      <c r="C106" s="2416"/>
      <c r="D106" s="2416"/>
      <c r="E106" s="2522" t="s">
        <v>2306</v>
      </c>
      <c r="F106" s="2256"/>
      <c r="G106" s="2519" t="s">
        <v>2301</v>
      </c>
      <c r="H106" s="1048">
        <f>C38</f>
        <v>0</v>
      </c>
      <c r="I106" s="138"/>
    </row>
    <row r="107" spans="1:35" ht="18.75" customHeight="1">
      <c r="A107" s="138"/>
      <c r="B107" s="138"/>
      <c r="C107" s="138"/>
      <c r="D107" s="138"/>
      <c r="E107" s="3077" t="str">
        <f>IF(项目基本情况!E8="已注销","——","3.房地产抵押价值")</f>
        <v>3.房地产抵押价值</v>
      </c>
      <c r="F107" s="3047"/>
      <c r="G107" s="2518" t="s">
        <v>2297</v>
      </c>
      <c r="H107" s="1047">
        <f ca="1">IF(E107="——","——",H101-H103)</f>
        <v>483</v>
      </c>
      <c r="I107" s="138"/>
    </row>
    <row r="108" spans="1:35" ht="18.75" customHeight="1">
      <c r="A108" s="138"/>
      <c r="B108" s="138"/>
      <c r="C108" s="138"/>
      <c r="D108" s="138"/>
      <c r="E108" s="3077"/>
      <c r="F108" s="3047"/>
      <c r="G108" s="2518" t="s">
        <v>2299</v>
      </c>
      <c r="H108" s="371">
        <f ca="1">ROUND(H107*10000/'数据-汇总表'!E3,0)</f>
        <v>4230</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47"/>
      <c r="G109" s="2518" t="s">
        <v>2297</v>
      </c>
      <c r="H109" s="348" t="str">
        <f>IF(E109="——","——",H101-H105-H106)</f>
        <v>——</v>
      </c>
      <c r="I109" s="138"/>
    </row>
    <row r="110" spans="1:35" ht="18.75" customHeight="1">
      <c r="A110" s="138"/>
      <c r="B110" s="138"/>
      <c r="C110" s="138"/>
      <c r="D110" s="138"/>
      <c r="E110" s="3077"/>
      <c r="F110" s="3047"/>
      <c r="G110" s="2518" t="s">
        <v>2299</v>
      </c>
      <c r="H110" s="371" t="str">
        <f>IF(H109="——","——",ROUND(H109*10000/'数据-汇总表'!E3,0))</f>
        <v>——</v>
      </c>
      <c r="I110" s="138"/>
    </row>
    <row r="111" spans="1:35" ht="18.75" customHeight="1">
      <c r="A111" s="138"/>
      <c r="B111" s="138"/>
      <c r="C111" s="138"/>
      <c r="D111" s="138"/>
      <c r="E111" s="3078" t="str">
        <f>IF(项目基本情况!E9="抵押净值",IF(OR(项目基本情况!E8="已注销",项目基本情况!E8="房地产抵押价值"),"4.抵押净值","5.抵押净值"),"——")</f>
        <v>——</v>
      </c>
      <c r="F111" s="3079"/>
      <c r="G111" s="2518" t="s">
        <v>2297</v>
      </c>
      <c r="H111" s="1047" t="str">
        <f>IF(E111="——","——",N59)</f>
        <v>——</v>
      </c>
      <c r="I111" s="138"/>
    </row>
    <row r="112" spans="1:35" ht="18.75" customHeight="1" thickBot="1">
      <c r="A112" s="138"/>
      <c r="B112" s="138"/>
      <c r="C112" s="138"/>
      <c r="D112" s="138"/>
      <c r="E112" s="3080"/>
      <c r="F112" s="3081"/>
      <c r="G112" s="2523" t="s">
        <v>2299</v>
      </c>
      <c r="H112" s="790" t="str">
        <f>IF(E111="——","——",N61)</f>
        <v>——</v>
      </c>
      <c r="I112" s="138"/>
    </row>
    <row r="113" spans="1:11" ht="18.75" customHeight="1">
      <c r="A113" s="138"/>
      <c r="B113" s="138"/>
      <c r="C113" s="138"/>
      <c r="D113" s="138"/>
      <c r="E113" s="3089" t="s">
        <v>2305</v>
      </c>
      <c r="F113" s="3089"/>
      <c r="G113" s="3089"/>
      <c r="H113" s="3089"/>
      <c r="I113" s="138"/>
    </row>
    <row r="114" spans="1:11" ht="3.75" customHeight="1">
      <c r="A114" s="2416"/>
      <c r="B114" s="2416"/>
      <c r="C114" s="2416"/>
      <c r="D114" s="2416"/>
      <c r="E114" s="2494"/>
      <c r="F114" s="2494"/>
      <c r="G114" s="2494"/>
      <c r="H114" s="2494"/>
      <c r="I114" s="2416"/>
    </row>
    <row r="115" spans="1:11" ht="18.75" customHeight="1">
      <c r="A115" s="3102" t="s">
        <v>2307</v>
      </c>
      <c r="B115" s="3103"/>
      <c r="C115" s="3103"/>
      <c r="D115" s="3103"/>
      <c r="E115" s="3103"/>
      <c r="F115" s="3103"/>
      <c r="G115" s="3103"/>
      <c r="H115" s="3103"/>
      <c r="I115" s="3104"/>
    </row>
    <row r="116" spans="1:11" ht="27" customHeight="1">
      <c r="A116" s="3013" t="s">
        <v>2308</v>
      </c>
      <c r="B116" s="3056" t="s">
        <v>2309</v>
      </c>
      <c r="C116" s="3056" t="s">
        <v>2310</v>
      </c>
      <c r="D116" s="3062" t="s">
        <v>2311</v>
      </c>
      <c r="E116" s="3063"/>
      <c r="F116" s="3098" t="s">
        <v>2312</v>
      </c>
      <c r="G116" s="3098"/>
      <c r="H116" s="3013" t="s">
        <v>2313</v>
      </c>
      <c r="I116" s="3013"/>
    </row>
    <row r="117" spans="1:11" ht="18.75" customHeight="1">
      <c r="A117" s="3013"/>
      <c r="B117" s="3057"/>
      <c r="C117" s="3057"/>
      <c r="D117" s="1798" t="s">
        <v>2314</v>
      </c>
      <c r="E117" s="1798" t="s">
        <v>2315</v>
      </c>
      <c r="F117" s="1798" t="s">
        <v>2314</v>
      </c>
      <c r="G117" s="1798" t="s">
        <v>2316</v>
      </c>
      <c r="H117" s="1798" t="s">
        <v>2314</v>
      </c>
      <c r="I117" s="1798" t="s">
        <v>2316</v>
      </c>
    </row>
    <row r="118" spans="1:11" ht="24.75" customHeight="1">
      <c r="A118" s="2524" t="str">
        <f>项目基本情况!S2</f>
        <v>西城区西直门外大街1号院2号楼17层19C5-19C13房地产</v>
      </c>
      <c r="B118" s="1798">
        <f>M18</f>
        <v>1141.77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483</v>
      </c>
      <c r="I118" s="1798">
        <f ca="1">ROUND(IF(D32="楼面单价",C32,H118*10000/B118),0)</f>
        <v>4230</v>
      </c>
    </row>
    <row r="119" spans="1:11" ht="18.75" customHeight="1">
      <c r="A119" s="3013" t="s">
        <v>2317</v>
      </c>
      <c r="B119" s="3013"/>
      <c r="C119" s="3013"/>
      <c r="D119" s="3058" t="e">
        <f ca="1">NUMBERSTRING(INT(D118*10000),2)&amp;"元整"</f>
        <v>#REF!</v>
      </c>
      <c r="E119" s="3059"/>
      <c r="F119" s="3058" t="e">
        <f ca="1">NUMBERSTRING(INT(F118*10000),2)&amp;"元整"</f>
        <v>#REF!</v>
      </c>
      <c r="G119" s="3059"/>
      <c r="H119" s="3058" t="str">
        <f ca="1">NUMBERSTRING(INT(H118*10000),2)&amp;"元整"</f>
        <v>肆佰捌拾叁万元整</v>
      </c>
      <c r="I119" s="3059"/>
    </row>
    <row r="120" spans="1:11" ht="18.75" customHeight="1">
      <c r="A120" s="3053" t="str">
        <f>IF(项目基本情况!B9="房地产市场价值","",MID(E103,3,LEN(E103)-2))</f>
        <v>估价师知悉的法定优先受偿款</v>
      </c>
      <c r="B120" s="3054"/>
      <c r="C120" s="3055"/>
      <c r="D120" s="3053">
        <f>H103</f>
        <v>0</v>
      </c>
      <c r="E120" s="3054"/>
      <c r="F120" s="3054"/>
      <c r="G120" s="3054"/>
      <c r="H120" s="3054"/>
      <c r="I120" s="3055"/>
      <c r="K120" s="2421" t="str">
        <f>IF(D120=0,"故，本次评估不存在"&amp;A120,"故，本次评估"&amp;A120&amp;"为人民币"&amp;D120&amp;"万元整。")</f>
        <v>故，本次评估不存在估价师知悉的法定优先受偿款</v>
      </c>
    </row>
    <row r="121" spans="1:11" ht="18.75" customHeight="1">
      <c r="A121" s="3099" t="s">
        <v>2317</v>
      </c>
      <c r="B121" s="3100"/>
      <c r="C121" s="3101"/>
      <c r="D121" s="3058" t="str">
        <f>IF(D120=0,"零元整",NUMBERSTRING(INT(D120*10000),2)&amp;"元整")</f>
        <v>零元整</v>
      </c>
      <c r="E121" s="3060"/>
      <c r="F121" s="3060"/>
      <c r="G121" s="3060"/>
      <c r="H121" s="3060"/>
      <c r="I121" s="3059"/>
    </row>
    <row r="122" spans="1:11" ht="18.75" customHeight="1">
      <c r="A122" s="3064" t="str">
        <f>IF(项目基本情况!B9="房地产市场价值","",MID(E107,3,LEN(E107)-2))</f>
        <v>房地产抵押价值</v>
      </c>
      <c r="B122" s="3064"/>
      <c r="C122" s="3064"/>
      <c r="D122" s="3053">
        <f ca="1">H107</f>
        <v>483</v>
      </c>
      <c r="E122" s="3054"/>
      <c r="F122" s="3054"/>
      <c r="G122" s="3054"/>
      <c r="H122" s="3054"/>
      <c r="I122" s="3055"/>
    </row>
    <row r="123" spans="1:11" ht="18.75" customHeight="1">
      <c r="A123" s="3013" t="s">
        <v>2317</v>
      </c>
      <c r="B123" s="3013"/>
      <c r="C123" s="3013"/>
      <c r="D123" s="3058" t="str">
        <f ca="1">NUMBERSTRING(INT(D122*10000),2)&amp;"元整"</f>
        <v>肆佰捌拾叁万元整</v>
      </c>
      <c r="E123" s="3060"/>
      <c r="F123" s="3060"/>
      <c r="G123" s="3060"/>
      <c r="H123" s="3060"/>
      <c r="I123" s="3059"/>
    </row>
    <row r="124" spans="1:11" ht="18.75" customHeight="1">
      <c r="A124" s="3064" t="str">
        <f>IF(项目基本情况!B9="房地产市场价值","",MID(E109,3,LEN(E109)-2))</f>
        <v/>
      </c>
      <c r="B124" s="3064"/>
      <c r="C124" s="3064"/>
      <c r="D124" s="3053" t="str">
        <f>H109</f>
        <v>——</v>
      </c>
      <c r="E124" s="3054"/>
      <c r="F124" s="3054"/>
      <c r="G124" s="3054"/>
      <c r="H124" s="3054"/>
      <c r="I124" s="3055"/>
    </row>
    <row r="125" spans="1:11" ht="18.75" customHeight="1">
      <c r="A125" s="3013" t="s">
        <v>2317</v>
      </c>
      <c r="B125" s="3013"/>
      <c r="C125" s="3013"/>
      <c r="D125" s="3058" t="e">
        <f>NUMBERSTRING(INT(D124*10000),2)&amp;"元整"</f>
        <v>#VALUE!</v>
      </c>
      <c r="E125" s="3060"/>
      <c r="F125" s="3060"/>
      <c r="G125" s="3060"/>
      <c r="H125" s="3060"/>
      <c r="I125" s="3059"/>
    </row>
    <row r="126" spans="1:11" ht="18.75" customHeight="1">
      <c r="A126" s="3064" t="str">
        <f>IF(项目基本情况!B9="房地产市场价值","",MID(E111,3,LEN(E111)-2))</f>
        <v/>
      </c>
      <c r="B126" s="3064"/>
      <c r="C126" s="3064"/>
      <c r="D126" s="3053" t="str">
        <f>H111</f>
        <v>——</v>
      </c>
      <c r="E126" s="3054"/>
      <c r="F126" s="3054"/>
      <c r="G126" s="3054"/>
      <c r="H126" s="3054"/>
      <c r="I126" s="3055"/>
    </row>
    <row r="127" spans="1:11" ht="18.75" customHeight="1">
      <c r="A127" s="3013" t="s">
        <v>2317</v>
      </c>
      <c r="B127" s="3013"/>
      <c r="C127" s="3013"/>
      <c r="D127" s="3058" t="e">
        <f>NUMBERSTRING(INT(D126*10000),2)&amp;"元整"</f>
        <v>#VALUE!</v>
      </c>
      <c r="E127" s="3060"/>
      <c r="F127" s="3060"/>
      <c r="G127" s="3060"/>
      <c r="H127" s="3060"/>
      <c r="I127" s="3059"/>
    </row>
    <row r="128" spans="1:11" ht="21.75" customHeight="1">
      <c r="A128" s="3061" t="s">
        <v>2318</v>
      </c>
      <c r="B128" s="3061"/>
      <c r="C128" s="3061"/>
      <c r="D128" s="3061"/>
      <c r="E128" s="3061"/>
      <c r="F128" s="3061"/>
      <c r="G128" s="3061"/>
      <c r="H128" s="3061"/>
      <c r="I128" s="3061"/>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1">
        <f>MATCH(B1,'数据-取费表'!A6:A16,0)+5</f>
        <v>8</v>
      </c>
    </row>
    <row r="2" spans="1:9" s="244" customFormat="1" ht="18" customHeight="1">
      <c r="A2" s="245" t="s">
        <v>2327</v>
      </c>
      <c r="B2" s="246">
        <f ca="1">IF(D2="——",C52,C52-E2)</f>
        <v>549</v>
      </c>
      <c r="C2" s="243" t="s">
        <v>2328</v>
      </c>
      <c r="D2" s="2547" t="s">
        <v>70</v>
      </c>
      <c r="E2" s="1442"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4808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51" t="s">
        <v>2337</v>
      </c>
      <c r="B6" s="259" t="s">
        <v>2338</v>
      </c>
      <c r="C6" s="260"/>
      <c r="D6" s="261"/>
      <c r="E6" s="262"/>
      <c r="F6" s="262"/>
      <c r="G6" s="263"/>
    </row>
    <row r="7" spans="1:9" s="258" customFormat="1" ht="13.5" customHeight="1">
      <c r="A7" s="951" t="s">
        <v>2339</v>
      </c>
      <c r="B7" s="259" t="s">
        <v>2340</v>
      </c>
      <c r="C7" s="264">
        <f>ROUND(C6*F7,0)</f>
        <v>0</v>
      </c>
      <c r="D7" s="264"/>
      <c r="E7" s="262"/>
      <c r="F7" s="265">
        <f>'数据-取费表'!B48+'数据-取费表'!B49</f>
        <v>3.0499999999999999E-2</v>
      </c>
      <c r="G7" s="263"/>
    </row>
    <row r="8" spans="1:9" s="267" customFormat="1">
      <c r="A8" s="951" t="s">
        <v>2341</v>
      </c>
      <c r="B8" s="259" t="s">
        <v>2342</v>
      </c>
      <c r="C8" s="264">
        <f>IF(G8="已包含在土地购买价格中","0",IF(B1="",'数据-取费表'!B29,IF(G9="全部缴纳",C9+C10,H9)))</f>
        <v>0</v>
      </c>
      <c r="D8" s="266"/>
      <c r="E8" s="264"/>
      <c r="F8" s="265"/>
      <c r="G8" s="2550"/>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51"/>
      <c r="H9" s="1392"/>
      <c r="I9" s="2552" t="s">
        <v>2344</v>
      </c>
    </row>
    <row r="10" spans="1:9" s="258" customFormat="1" ht="13.5" customHeight="1">
      <c r="A10" s="952" t="s">
        <v>801</v>
      </c>
      <c r="B10" s="268" t="s">
        <v>2345</v>
      </c>
      <c r="C10" s="269">
        <f ca="1">ROUND(D10*E10/10000,0)</f>
        <v>0</v>
      </c>
      <c r="D10" s="1034">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f ca="1">IF(G19="已包含在土地取得成本中","0",ROUND(D19*E19/10000,0))</f>
        <v>23</v>
      </c>
      <c r="D19" s="1038">
        <f ca="1">D9+D10</f>
        <v>1141.77</v>
      </c>
      <c r="E19" s="255">
        <f>'数据-取费表'!B31</f>
        <v>200</v>
      </c>
      <c r="F19" s="275"/>
      <c r="G19" s="2550"/>
    </row>
    <row r="20" spans="1:7" s="258" customFormat="1" ht="13.5" customHeight="1">
      <c r="A20" s="299" t="s">
        <v>2358</v>
      </c>
      <c r="B20" s="254" t="s">
        <v>2359</v>
      </c>
      <c r="C20" s="276">
        <f ca="1">ROUND((C5+C19)*F20,0)</f>
        <v>1</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6">
        <f ca="1">ROUND(SUM(C23:C25),0)</f>
        <v>2</v>
      </c>
      <c r="D22" s="279">
        <f ca="1">C26</f>
        <v>1.4E-3</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7">
        <f ca="1">ROUND(IF('数据-取费表'!B22&lt;=1,C5*F22*'数据-取费表'!B23,C5*(POWER((1+F22),'数据-取费表'!B23)-1)),0)</f>
        <v>0</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2</v>
      </c>
      <c r="D24" s="282"/>
      <c r="E24" s="282"/>
      <c r="F24" s="283"/>
      <c r="G24" s="284" t="s">
        <v>2372</v>
      </c>
    </row>
    <row r="25" spans="1:7" s="258" customFormat="1" ht="24">
      <c r="A25" s="953" t="s">
        <v>2373</v>
      </c>
      <c r="B25" s="259" t="s">
        <v>2374</v>
      </c>
      <c r="C25" s="1357">
        <f ca="1">ROUND(IF('数据-取费表'!B22&lt;=1,C20*F22*'数据-取费表'!B23/2,C20*(POWER((1+F22),'数据-取费表'!B23/2)-1)),0)</f>
        <v>0</v>
      </c>
      <c r="D25" s="282"/>
      <c r="E25" s="285"/>
      <c r="F25" s="283"/>
      <c r="G25" s="286" t="s">
        <v>2375</v>
      </c>
    </row>
    <row r="26" spans="1:7" s="258" customFormat="1">
      <c r="A26" s="953" t="s">
        <v>795</v>
      </c>
      <c r="B26" s="259" t="s">
        <v>2376</v>
      </c>
      <c r="C26" s="282">
        <f ca="1">ROUND(IF('数据-取费表'!B22&lt;=1,F21*F22*'数据-取费表'!B23/2,F21*(POWER((1+F22),'数据-取费表'!B23/2)-1)),4)</f>
        <v>1.4E-3</v>
      </c>
      <c r="D26" s="282"/>
      <c r="E26" s="285"/>
      <c r="F26" s="283"/>
      <c r="G26" s="287"/>
    </row>
    <row r="27" spans="1:7" s="258" customFormat="1" ht="24.75">
      <c r="A27" s="299" t="s">
        <v>2377</v>
      </c>
      <c r="B27" s="288" t="s">
        <v>2378</v>
      </c>
      <c r="C27" s="289">
        <f ca="1">C28</f>
        <v>6</v>
      </c>
      <c r="D27" s="279">
        <f ca="1">C29</f>
        <v>7.4999999999999997E-3</v>
      </c>
      <c r="E27" s="280" t="s">
        <v>2379</v>
      </c>
      <c r="F27" s="290">
        <f ca="1">IF(B1="",'数据-取费表'!Q16,INDIRECT("'数据-取费表'!q"&amp;$G$1))</f>
        <v>0.25</v>
      </c>
      <c r="G27" s="291" t="s">
        <v>2380</v>
      </c>
    </row>
    <row r="28" spans="1:7" s="258" customFormat="1" ht="13.5" customHeight="1">
      <c r="A28" s="953" t="s">
        <v>791</v>
      </c>
      <c r="B28" s="292" t="s">
        <v>2381</v>
      </c>
      <c r="C28" s="293">
        <f ca="1">ROUND((C5+C19+C20)*F27*'数据-取费表'!B21/'数据-取费表'!B20,0)</f>
        <v>6</v>
      </c>
      <c r="D28" s="279"/>
      <c r="E28" s="280"/>
      <c r="F28" s="290"/>
      <c r="G28" s="291"/>
    </row>
    <row r="29" spans="1:7" s="258" customFormat="1" ht="13.5" customHeight="1">
      <c r="A29" s="953" t="s">
        <v>792</v>
      </c>
      <c r="B29" s="292" t="s">
        <v>2382</v>
      </c>
      <c r="C29" s="282">
        <f ca="1">ROUND(C21*F27*'数据-取费表'!B21/'数据-取费表'!B20,4)</f>
        <v>7.4999999999999997E-3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448</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2391</v>
      </c>
    </row>
    <row r="35" spans="1:7" ht="13.5" customHeight="1">
      <c r="A35" s="953" t="s">
        <v>796</v>
      </c>
      <c r="B35" s="259" t="s">
        <v>2392</v>
      </c>
      <c r="C35" s="264">
        <f ca="1">ROUND(C34*F35,0)</f>
        <v>20</v>
      </c>
      <c r="D35" s="264"/>
      <c r="E35" s="264"/>
      <c r="F35" s="303">
        <f>'数据-取费表'!B33</f>
        <v>0.05</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23</v>
      </c>
      <c r="D37" s="261">
        <f ca="1">D19</f>
        <v>1141.77</v>
      </c>
      <c r="E37" s="293">
        <f>'数据-取费表'!B35</f>
        <v>200</v>
      </c>
      <c r="F37" s="303"/>
      <c r="G37" s="305" t="s">
        <v>2397</v>
      </c>
    </row>
    <row r="38" spans="1:7" ht="13.5" customHeight="1">
      <c r="A38" s="953" t="s">
        <v>799</v>
      </c>
      <c r="B38" s="259" t="s">
        <v>2398</v>
      </c>
      <c r="C38" s="264">
        <f ca="1">ROUND(C34*F38,0)</f>
        <v>6</v>
      </c>
      <c r="D38" s="264"/>
      <c r="E38" s="264"/>
      <c r="F38" s="303">
        <f>'数据-取费表'!B36</f>
        <v>1.4999999999999999E-2</v>
      </c>
      <c r="G38" s="263" t="s">
        <v>2393</v>
      </c>
    </row>
    <row r="39" spans="1:7" s="258" customFormat="1" ht="13.5" customHeight="1">
      <c r="A39" s="299" t="s">
        <v>2399</v>
      </c>
      <c r="B39" s="254" t="s">
        <v>2400</v>
      </c>
      <c r="C39" s="276">
        <f ca="1">ROUND(C33*F20,0)</f>
        <v>13</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22</v>
      </c>
      <c r="D41" s="279">
        <f ca="1">C44</f>
        <v>1.4E-3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21</v>
      </c>
      <c r="D42" s="282"/>
      <c r="E42" s="282"/>
      <c r="F42" s="283"/>
      <c r="G42" s="3133" t="s">
        <v>2409</v>
      </c>
    </row>
    <row r="43" spans="1:7" ht="13.5" customHeight="1">
      <c r="A43" s="953" t="s">
        <v>792</v>
      </c>
      <c r="B43" s="259" t="s">
        <v>2410</v>
      </c>
      <c r="C43" s="282">
        <f ca="1">ROUND(IF('数据-取费表'!B22&lt;=1,C39*F22*'数据-取费表'!B21/2,C39*(POWER((1+F22),'数据-取费表'!B21/2)-1)),0)</f>
        <v>1</v>
      </c>
      <c r="D43" s="282"/>
      <c r="E43" s="282"/>
      <c r="F43" s="283"/>
      <c r="G43" s="3134"/>
    </row>
    <row r="44" spans="1:7" ht="13.5" customHeight="1">
      <c r="A44" s="953" t="s">
        <v>793</v>
      </c>
      <c r="B44" s="259" t="s">
        <v>2411</v>
      </c>
      <c r="C44" s="282">
        <f ca="1">ROUND(IF('数据-取费表'!B22&lt;=1,C40*F22*'数据-取费表'!B21/2,C40*(POWER((1+F22),'数据-取费表'!B21/2)-1)),4)</f>
        <v>1.4E-3</v>
      </c>
      <c r="D44" s="282"/>
      <c r="E44" s="282"/>
      <c r="F44" s="283"/>
      <c r="G44" s="3135"/>
    </row>
    <row r="45" spans="1:7" s="258" customFormat="1" ht="13.5" customHeight="1">
      <c r="A45" s="299" t="s">
        <v>2412</v>
      </c>
      <c r="B45" s="288" t="s">
        <v>2378</v>
      </c>
      <c r="C45" s="289">
        <f ca="1">C46</f>
        <v>115</v>
      </c>
      <c r="D45" s="279">
        <f ca="1">C47</f>
        <v>7.4999999999999997E-3</v>
      </c>
      <c r="E45" s="280" t="s">
        <v>2404</v>
      </c>
      <c r="F45" s="290"/>
      <c r="G45" s="291" t="s">
        <v>2413</v>
      </c>
    </row>
    <row r="46" spans="1:7" s="258" customFormat="1" ht="13.5" customHeight="1">
      <c r="A46" s="953" t="s">
        <v>791</v>
      </c>
      <c r="B46" s="292" t="s">
        <v>2414</v>
      </c>
      <c r="C46" s="293">
        <f ca="1">ROUND((C33+C39)*F27,0)</f>
        <v>115</v>
      </c>
      <c r="D46" s="307"/>
      <c r="E46" s="280"/>
      <c r="F46" s="290"/>
      <c r="G46" s="291"/>
    </row>
    <row r="47" spans="1:7" s="258" customFormat="1" ht="13.5" customHeight="1">
      <c r="A47" s="953" t="s">
        <v>792</v>
      </c>
      <c r="B47" s="292" t="s">
        <v>2415</v>
      </c>
      <c r="C47" s="282">
        <f ca="1">ROUND(C40*F27,4)</f>
        <v>7.4999999999999997E-3</v>
      </c>
      <c r="D47" s="307"/>
      <c r="E47" s="280"/>
      <c r="F47" s="290"/>
      <c r="G47" s="291"/>
    </row>
    <row r="48" spans="1:7" s="258" customFormat="1" ht="13.5" customHeight="1">
      <c r="A48" s="299" t="s">
        <v>2377</v>
      </c>
      <c r="B48" s="254" t="s">
        <v>2416</v>
      </c>
      <c r="C48" s="1731">
        <f>ROUND(F30/(1+'数据-取费表'!C42),4)</f>
        <v>5.33E-2</v>
      </c>
      <c r="D48" s="280" t="s">
        <v>2404</v>
      </c>
      <c r="E48" s="276"/>
      <c r="F48" s="281"/>
      <c r="G48" s="278" t="s">
        <v>2417</v>
      </c>
    </row>
    <row r="49" spans="1:7" ht="16.5" customHeight="1">
      <c r="A49" s="299" t="s">
        <v>2383</v>
      </c>
      <c r="B49" s="254" t="s">
        <v>2418</v>
      </c>
      <c r="C49" s="276">
        <f ca="1">ROUND((C33+C39+C41+C45)/(1-C40-D41-D45-C48),0)</f>
        <v>659</v>
      </c>
      <c r="D49" s="276"/>
      <c r="E49" s="276"/>
      <c r="F49" s="308"/>
      <c r="G49" s="278" t="s">
        <v>2419</v>
      </c>
    </row>
    <row r="50" spans="1:7" s="302" customFormat="1" ht="24">
      <c r="A50" s="299" t="s">
        <v>2420</v>
      </c>
      <c r="B50" s="254" t="s">
        <v>2421</v>
      </c>
      <c r="C50" s="276"/>
      <c r="D50" s="276"/>
      <c r="E50" s="276"/>
      <c r="F50" s="308">
        <f>IF('数据-取费表'!B24=0,'数据-取费表'!N16,1)</f>
        <v>0.78</v>
      </c>
      <c r="G50" s="291" t="s">
        <v>2422</v>
      </c>
    </row>
    <row r="51" spans="1:7" ht="16.5" customHeight="1">
      <c r="A51" s="299" t="s">
        <v>2423</v>
      </c>
      <c r="B51" s="254" t="s">
        <v>2424</v>
      </c>
      <c r="C51" s="276">
        <f ca="1">ROUND(C49*F50,0)</f>
        <v>514</v>
      </c>
      <c r="D51" s="276"/>
      <c r="E51" s="276"/>
      <c r="F51" s="308"/>
      <c r="G51" s="278" t="s">
        <v>2425</v>
      </c>
    </row>
    <row r="52" spans="1:7" s="252" customFormat="1" ht="16.5" thickBot="1">
      <c r="A52" s="309" t="s">
        <v>2426</v>
      </c>
      <c r="B52" s="310"/>
      <c r="C52" s="311">
        <f ca="1">C31+C51</f>
        <v>549</v>
      </c>
      <c r="D52" s="310"/>
      <c r="E52" s="310"/>
      <c r="F52" s="310"/>
      <c r="G52" s="312"/>
    </row>
    <row r="55" spans="1:7" ht="15">
      <c r="B55" s="314" t="s">
        <v>2427</v>
      </c>
      <c r="C55" s="315"/>
    </row>
    <row r="56" spans="1:7">
      <c r="B56" s="317" t="s">
        <v>1515</v>
      </c>
      <c r="C56" s="319">
        <f ca="1">1-C57</f>
        <v>6.3999999999999946E-2</v>
      </c>
    </row>
    <row r="57" spans="1:7">
      <c r="B57" s="317" t="s">
        <v>1516</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48" t="str">
        <f>项目基本情况!B1</f>
        <v>西城区西直门外大街1号院2号楼17层19C5-19C13房地产抵押价值预评估</v>
      </c>
      <c r="C37" s="2948"/>
      <c r="D37" s="2948"/>
      <c r="E37" s="2948"/>
      <c r="F37" s="2948"/>
      <c r="G37" s="2948"/>
      <c r="H37" s="2948"/>
      <c r="I37" s="2948"/>
    </row>
    <row r="38" spans="1:9">
      <c r="A38" s="1018"/>
      <c r="B38" s="1018"/>
    </row>
    <row r="39" spans="1:9">
      <c r="A39" s="1016" t="s">
        <v>818</v>
      </c>
      <c r="B39" s="1016" t="s">
        <v>820</v>
      </c>
    </row>
    <row r="40" spans="1:9">
      <c r="A40" s="1016"/>
      <c r="B40" s="1945" t="str">
        <f>项目基本情况!B5</f>
        <v>准信智慧消防股份有限公司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郑燚（注册号：1120070131)、王鹏（注册号：1120050019)</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3"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550</v>
      </c>
      <c r="C2" s="243" t="s">
        <v>2328</v>
      </c>
      <c r="D2" s="2547" t="s">
        <v>70</v>
      </c>
      <c r="E2" s="1442"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4817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0</v>
      </c>
      <c r="D8" s="266"/>
      <c r="E8" s="264"/>
      <c r="F8" s="265"/>
      <c r="G8" s="2550"/>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0</v>
      </c>
      <c r="D10" s="1034">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228354</v>
      </c>
      <c r="D19" s="1038">
        <f ca="1">D9+D10</f>
        <v>1141.77</v>
      </c>
      <c r="E19" s="255">
        <f>'数据-取费表'!B31</f>
        <v>200</v>
      </c>
      <c r="F19" s="275"/>
      <c r="G19" s="2550"/>
    </row>
    <row r="20" spans="1:7" s="258" customFormat="1" ht="13.5" customHeight="1">
      <c r="A20" s="299" t="s">
        <v>2439</v>
      </c>
      <c r="B20" s="254" t="s">
        <v>2440</v>
      </c>
      <c r="C20" s="276">
        <f ca="1">ROUND((C5+C19)*F20,0)</f>
        <v>6851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2">
        <f ca="1">ROUND(SUM(C23:C25),0)</f>
        <v>22534</v>
      </c>
      <c r="D22" s="279">
        <f ca="1">C26</f>
        <v>1.4E-3</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3">
        <f ca="1">ROUND(IF('数据-取费表'!B22&lt;=1,C5*F22*'数据-取费表'!B22,C5*(POWER((1+F22),'数据-取费表'!B22)-1)),0)</f>
        <v>0</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22209</v>
      </c>
      <c r="D24" s="282"/>
      <c r="E24" s="282"/>
      <c r="F24" s="283"/>
      <c r="G24" s="284" t="s">
        <v>2451</v>
      </c>
    </row>
    <row r="25" spans="1:7" s="258" customFormat="1" ht="24">
      <c r="A25" s="953" t="s">
        <v>2341</v>
      </c>
      <c r="B25" s="259" t="s">
        <v>2452</v>
      </c>
      <c r="C25" s="1383">
        <f ca="1">ROUND(IF('数据-取费表'!B22&lt;=1,C20*F22*'数据-取费表'!B22/2,C20*(POWER((1+F22),'数据-取费表'!B22/2)-1)),0)</f>
        <v>325</v>
      </c>
      <c r="D25" s="282"/>
      <c r="E25" s="285"/>
      <c r="F25" s="283"/>
      <c r="G25" s="286" t="s">
        <v>2453</v>
      </c>
    </row>
    <row r="26" spans="1:7" s="258" customFormat="1">
      <c r="A26" s="953"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58801</v>
      </c>
      <c r="D27" s="279">
        <f ca="1">C29</f>
        <v>7.4999999999999997E-3</v>
      </c>
      <c r="E27" s="280" t="s">
        <v>2379</v>
      </c>
      <c r="F27" s="290">
        <f ca="1">IF(B1="",'数据-取费表'!Q16,INDIRECT("'数据-取费表'!q"&amp;$G$1))</f>
        <v>0.25</v>
      </c>
      <c r="G27" s="291" t="s">
        <v>2380</v>
      </c>
    </row>
    <row r="28" spans="1:7" s="258" customFormat="1" ht="13.5" customHeight="1">
      <c r="A28" s="953" t="s">
        <v>791</v>
      </c>
      <c r="B28" s="292" t="s">
        <v>2381</v>
      </c>
      <c r="C28" s="293">
        <f ca="1">ROUND((C5+C19+C20)*F27,0)</f>
        <v>58801</v>
      </c>
      <c r="D28" s="279"/>
      <c r="E28" s="280"/>
      <c r="F28" s="290"/>
      <c r="G28" s="291"/>
    </row>
    <row r="29" spans="1:7" s="258" customFormat="1" ht="13.5" customHeight="1">
      <c r="A29" s="953" t="s">
        <v>792</v>
      </c>
      <c r="B29" s="292" t="s">
        <v>2382</v>
      </c>
      <c r="C29" s="282">
        <f ca="1">ROUND(C21*F27,4)</f>
        <v>7.4999999999999997E-3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348689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4484302</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3" t="s">
        <v>796</v>
      </c>
      <c r="B35" s="259" t="s">
        <v>2392</v>
      </c>
      <c r="C35" s="264">
        <f ca="1">ROUND(C34*F35,0)</f>
        <v>199810</v>
      </c>
      <c r="D35" s="264"/>
      <c r="E35" s="264"/>
      <c r="F35" s="303">
        <f>'数据-取费表'!B33</f>
        <v>0.05</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228354</v>
      </c>
      <c r="D37" s="261">
        <f ca="1">D19</f>
        <v>1141.77</v>
      </c>
      <c r="E37" s="293">
        <f>'数据-取费表'!B35</f>
        <v>200</v>
      </c>
      <c r="F37" s="303"/>
      <c r="G37" s="305"/>
    </row>
    <row r="38" spans="1:7" ht="13.5" customHeight="1">
      <c r="A38" s="953" t="s">
        <v>799</v>
      </c>
      <c r="B38" s="259" t="s">
        <v>2398</v>
      </c>
      <c r="C38" s="264">
        <f ca="1">ROUND(C34*F38,0)</f>
        <v>59943</v>
      </c>
      <c r="D38" s="264"/>
      <c r="E38" s="264"/>
      <c r="F38" s="303">
        <f>'数据-取费表'!B36</f>
        <v>1.4999999999999999E-2</v>
      </c>
      <c r="G38" s="263" t="s">
        <v>2393</v>
      </c>
    </row>
    <row r="39" spans="1:7" s="258" customFormat="1" ht="13.5" customHeight="1">
      <c r="A39" s="299" t="s">
        <v>2399</v>
      </c>
      <c r="B39" s="254" t="s">
        <v>2400</v>
      </c>
      <c r="C39" s="276">
        <f ca="1">ROUND(C33*F20,0)</f>
        <v>134529</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219394</v>
      </c>
      <c r="D41" s="279">
        <f ca="1">C44</f>
        <v>1.4E-3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213004</v>
      </c>
      <c r="D42" s="282"/>
      <c r="E42" s="282"/>
      <c r="F42" s="283"/>
      <c r="G42" s="3133" t="s">
        <v>2456</v>
      </c>
    </row>
    <row r="43" spans="1:7" ht="13.5" customHeight="1">
      <c r="A43" s="953" t="s">
        <v>792</v>
      </c>
      <c r="B43" s="259" t="s">
        <v>2410</v>
      </c>
      <c r="C43" s="282">
        <f ca="1">ROUND(IF('数据-取费表'!B22&lt;=1,C39*F22*'数据-取费表'!B20/2,C39*(POWER((1+F22),'数据-取费表'!B20/2)-1)),0)</f>
        <v>6390</v>
      </c>
      <c r="D43" s="282"/>
      <c r="E43" s="282"/>
      <c r="F43" s="283"/>
      <c r="G43" s="3134"/>
    </row>
    <row r="44" spans="1:7" ht="13.5" customHeight="1">
      <c r="A44" s="953" t="s">
        <v>793</v>
      </c>
      <c r="B44" s="259" t="s">
        <v>2411</v>
      </c>
      <c r="C44" s="282">
        <f ca="1">ROUND(IF('数据-取费表'!B22&lt;=1,C40*F22*'数据-取费表'!B20/2,C40*(POWER((1+F22),'数据-取费表'!B20/2)-1)),4)</f>
        <v>1.4E-3</v>
      </c>
      <c r="D44" s="282"/>
      <c r="E44" s="282"/>
      <c r="F44" s="283"/>
      <c r="G44" s="3135"/>
    </row>
    <row r="45" spans="1:7" s="258" customFormat="1" ht="13.5" customHeight="1">
      <c r="A45" s="299" t="s">
        <v>2412</v>
      </c>
      <c r="B45" s="288" t="s">
        <v>2378</v>
      </c>
      <c r="C45" s="289">
        <f ca="1">C46</f>
        <v>1154708</v>
      </c>
      <c r="D45" s="279">
        <f ca="1">C47</f>
        <v>7.4999999999999997E-3</v>
      </c>
      <c r="E45" s="280" t="s">
        <v>2404</v>
      </c>
      <c r="F45" s="290"/>
      <c r="G45" s="291" t="s">
        <v>2413</v>
      </c>
    </row>
    <row r="46" spans="1:7" s="258" customFormat="1" ht="13.5" customHeight="1">
      <c r="A46" s="953" t="s">
        <v>791</v>
      </c>
      <c r="B46" s="292" t="s">
        <v>2414</v>
      </c>
      <c r="C46" s="293">
        <f ca="1">ROUND((C33+C39)*F27,0)</f>
        <v>1154708</v>
      </c>
      <c r="D46" s="307"/>
      <c r="E46" s="280"/>
      <c r="F46" s="290"/>
      <c r="G46" s="291"/>
    </row>
    <row r="47" spans="1:7" s="258" customFormat="1" ht="13.5" customHeight="1">
      <c r="A47" s="953" t="s">
        <v>792</v>
      </c>
      <c r="B47" s="292" t="s">
        <v>2415</v>
      </c>
      <c r="C47" s="282">
        <f ca="1">ROUND(C40*F27,4)</f>
        <v>7.4999999999999997E-3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6601601</v>
      </c>
      <c r="D49" s="276"/>
      <c r="E49" s="276"/>
      <c r="F49" s="308"/>
      <c r="G49" s="278" t="s">
        <v>2419</v>
      </c>
    </row>
    <row r="50" spans="1:7" s="302" customFormat="1">
      <c r="A50" s="299" t="s">
        <v>2420</v>
      </c>
      <c r="B50" s="254" t="s">
        <v>2421</v>
      </c>
      <c r="C50" s="276"/>
      <c r="D50" s="276"/>
      <c r="E50" s="276"/>
      <c r="F50" s="308">
        <f>IF('数据-取费表'!B24=0,'数据-取费表'!N16,1)</f>
        <v>0.78</v>
      </c>
      <c r="G50" s="291"/>
    </row>
    <row r="51" spans="1:7" ht="16.5" customHeight="1">
      <c r="A51" s="299" t="s">
        <v>2423</v>
      </c>
      <c r="B51" s="254" t="s">
        <v>2458</v>
      </c>
      <c r="C51" s="276">
        <f ca="1">ROUND(C49*F50,0)</f>
        <v>5149249</v>
      </c>
      <c r="D51" s="276"/>
      <c r="E51" s="276"/>
      <c r="F51" s="308"/>
      <c r="G51" s="278" t="s">
        <v>2425</v>
      </c>
    </row>
    <row r="52" spans="1:7" s="252" customFormat="1" ht="16.5" thickBot="1">
      <c r="A52" s="309" t="s">
        <v>2426</v>
      </c>
      <c r="B52" s="310"/>
      <c r="C52" s="311">
        <f ca="1">C31+C51</f>
        <v>5497938</v>
      </c>
      <c r="D52" s="310"/>
      <c r="E52" s="310"/>
      <c r="F52" s="310"/>
      <c r="G52" s="312"/>
    </row>
    <row r="55" spans="1:7" ht="15">
      <c r="B55" s="314" t="s">
        <v>2427</v>
      </c>
      <c r="C55" s="315"/>
    </row>
    <row r="56" spans="1:7">
      <c r="B56" s="317" t="s">
        <v>1515</v>
      </c>
      <c r="C56" s="319">
        <f ca="1">1-C57</f>
        <v>6.2999999999999945E-2</v>
      </c>
    </row>
    <row r="57" spans="1:7">
      <c r="B57" s="317" t="s">
        <v>1516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4"/>
      <c r="C1" s="1585"/>
      <c r="D1" s="1583"/>
      <c r="E1" s="320"/>
      <c r="F1" s="320"/>
      <c r="G1" s="1584"/>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8" customFormat="1" ht="16.5" customHeight="1">
      <c r="A4" s="955" t="s">
        <v>2462</v>
      </c>
      <c r="B4" s="956"/>
      <c r="C4" s="998">
        <f>SUM(C8:K8)</f>
        <v>0</v>
      </c>
      <c r="D4" s="956"/>
      <c r="E4" s="956"/>
      <c r="F4" s="956"/>
      <c r="G4" s="956"/>
      <c r="H4" s="956"/>
      <c r="I4" s="956"/>
      <c r="J4" s="956"/>
      <c r="K4" s="957"/>
    </row>
    <row r="5" spans="1:33" s="962" customFormat="1" ht="24.75">
      <c r="A5" s="959" t="s">
        <v>2463</v>
      </c>
      <c r="B5" s="960" t="s">
        <v>2464</v>
      </c>
      <c r="C5" s="2554" t="s">
        <v>2465</v>
      </c>
      <c r="D5" s="2554" t="s">
        <v>2466</v>
      </c>
      <c r="E5" s="2554" t="s">
        <v>2467</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2471</v>
      </c>
      <c r="B8" s="177" t="s">
        <v>2472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1335</v>
      </c>
      <c r="B11" s="974" t="s">
        <v>2480</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2481</v>
      </c>
      <c r="C12" s="24">
        <f ca="1">ROUND(C11*F12,0)</f>
        <v>0</v>
      </c>
      <c r="D12" s="975"/>
      <c r="E12" s="375"/>
      <c r="F12" s="978">
        <f>'数据-取费表'!B33</f>
        <v>0.05</v>
      </c>
      <c r="G12" s="8" t="s">
        <v>2482</v>
      </c>
      <c r="H12" s="970"/>
      <c r="I12" s="970"/>
      <c r="J12" s="970"/>
      <c r="K12" s="971"/>
    </row>
    <row r="13" spans="1:33" s="977" customFormat="1" ht="13.5" customHeight="1">
      <c r="A13" s="973" t="s">
        <v>1337</v>
      </c>
      <c r="B13" s="974" t="s">
        <v>2483</v>
      </c>
      <c r="C13" s="24">
        <f ca="1">ROUND(IF(C1="",SUMIF('数据-取费表'!C:C,"住宅",'数据-取费表'!P:P)*F13,IF(INDIRECT("'数据-取费表'!c"&amp;$K$1)="住宅",INDIRECT("'数据-取费表'!P"&amp;$K$1)*F13,0)),0)</f>
        <v>0</v>
      </c>
      <c r="D13" s="1035"/>
      <c r="E13" s="375"/>
      <c r="F13" s="978">
        <f>'数据-取费表'!B34</f>
        <v>0</v>
      </c>
      <c r="G13" s="8" t="s">
        <v>2484</v>
      </c>
      <c r="H13" s="970"/>
      <c r="I13" s="970"/>
      <c r="J13" s="970"/>
      <c r="K13" s="971"/>
    </row>
    <row r="14" spans="1:33" s="979" customFormat="1" ht="13.5" customHeight="1">
      <c r="A14" s="973" t="s">
        <v>1338</v>
      </c>
      <c r="B14" s="974" t="s">
        <v>2485</v>
      </c>
      <c r="C14" s="24">
        <f ca="1">ROUND(D14*E14*F11/10000,0)</f>
        <v>0</v>
      </c>
      <c r="D14" s="1035">
        <f ca="1">IF(C1="",'数据-汇总表'!E3,INDIRECT("'数据-取费表'!K"&amp;$K$1)+INDIRECT("'数据-取费表'!S"&amp;$K$1))</f>
        <v>1141.77</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2487</v>
      </c>
      <c r="C15" s="985">
        <f ca="1">ROUND(C11*F15,0)</f>
        <v>0</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1141.77</v>
      </c>
      <c r="E17" s="24">
        <f>'数据-取费表'!B32</f>
        <v>0</v>
      </c>
      <c r="F17" s="980"/>
      <c r="G17" s="140" t="s">
        <v>2491</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2492</v>
      </c>
      <c r="C18" s="24">
        <f ca="1">C19+C20-IF(C1="",'数据-取费表'!B29,IF(G18="已全部缴纳",C19+C20,H18))</f>
        <v>0</v>
      </c>
      <c r="D18" s="1035"/>
      <c r="E18" s="24"/>
      <c r="F18" s="978"/>
      <c r="G18" s="2556"/>
      <c r="H18" s="1580"/>
      <c r="I18" s="2557"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2495</v>
      </c>
      <c r="C20" s="24">
        <f ca="1">ROUND(D20*E20/10000,0)</f>
        <v>0</v>
      </c>
      <c r="D20" s="1035">
        <f ca="1">IF(C1="",'数据-汇总表'!E6,IF(INDIRECT("'数据-取费表'!c"&amp;$K$1)="住宅",INDIRECT("'数据-取费表'!s"&amp;$K$1),INDIRECT("'数据-取费表'!k"&amp;$K$1)+INDIRECT("'数据-取费表'!s"&amp;$K$1)))</f>
        <v>1141.77</v>
      </c>
      <c r="E20" s="24">
        <f>'数据-取费表'!B28</f>
        <v>0</v>
      </c>
      <c r="F20" s="978"/>
      <c r="G20" s="15"/>
      <c r="H20" s="983"/>
      <c r="I20" s="983"/>
      <c r="J20" s="983"/>
      <c r="K20" s="984"/>
    </row>
    <row r="21" spans="1:33" s="977" customFormat="1" ht="13.5" customHeight="1">
      <c r="A21" s="963" t="s">
        <v>802</v>
      </c>
      <c r="B21" s="987" t="s">
        <v>2496</v>
      </c>
      <c r="C21" s="988">
        <f ca="1">C16+C17+C18</f>
        <v>0</v>
      </c>
      <c r="D21" s="989"/>
      <c r="E21" s="325"/>
      <c r="F21" s="325"/>
      <c r="G21" s="140" t="s">
        <v>2497</v>
      </c>
      <c r="H21" s="981"/>
      <c r="I21" s="981"/>
      <c r="J21" s="981"/>
      <c r="K21" s="982"/>
    </row>
    <row r="22" spans="1:33" s="977" customFormat="1" ht="13.5" customHeight="1">
      <c r="A22" s="963" t="s">
        <v>2469</v>
      </c>
      <c r="B22" s="987" t="s">
        <v>2498</v>
      </c>
      <c r="C22" s="988">
        <f ca="1">ROUND(C21*F22,0)</f>
        <v>0</v>
      </c>
      <c r="D22" s="325"/>
      <c r="E22" s="325"/>
      <c r="F22" s="990">
        <f>'数据-取费表'!B37</f>
        <v>0.03</v>
      </c>
      <c r="G22" s="8" t="s">
        <v>2499</v>
      </c>
      <c r="H22" s="970"/>
      <c r="I22" s="970"/>
      <c r="J22" s="970"/>
      <c r="K22" s="971"/>
    </row>
    <row r="23" spans="1:33" s="977" customFormat="1" ht="13.5" customHeight="1">
      <c r="A23" s="963" t="s">
        <v>2471</v>
      </c>
      <c r="B23" s="987" t="s">
        <v>2500</v>
      </c>
      <c r="C23" s="988">
        <f ca="1">ROUND(C4*F23*F11,0)</f>
        <v>0</v>
      </c>
      <c r="D23" s="325"/>
      <c r="E23" s="325"/>
      <c r="F23" s="990">
        <f>'数据-取费表'!B38</f>
        <v>0.03</v>
      </c>
      <c r="G23" s="8" t="s">
        <v>2501</v>
      </c>
      <c r="H23" s="970"/>
      <c r="I23" s="970"/>
      <c r="J23" s="970"/>
      <c r="K23" s="971"/>
    </row>
    <row r="24" spans="1:33" s="977" customFormat="1" ht="13.5" customHeight="1">
      <c r="A24" s="963" t="s">
        <v>2502</v>
      </c>
      <c r="B24" s="987" t="s">
        <v>2503</v>
      </c>
      <c r="C24" s="324">
        <f>ROUND(F24/(1+'数据-取费表'!C42),4)</f>
        <v>2.9000000000000001E-2</v>
      </c>
      <c r="D24" s="325" t="s">
        <v>15</v>
      </c>
      <c r="E24" s="325"/>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2509</v>
      </c>
      <c r="B28" s="2559" t="s">
        <v>2510</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2511</v>
      </c>
      <c r="C29" s="328">
        <f ca="1">ROUND((1+C24)*F28*'数据-取费表'!B24/'数据-取费表'!B20,4)</f>
        <v>0</v>
      </c>
      <c r="D29" s="328"/>
      <c r="E29" s="329"/>
      <c r="F29" s="334"/>
      <c r="G29" s="140" t="s">
        <v>2512</v>
      </c>
      <c r="H29" s="981"/>
      <c r="I29" s="981"/>
      <c r="J29" s="981"/>
      <c r="K29" s="982"/>
    </row>
    <row r="30" spans="1:33" s="335" customFormat="1" ht="13.5" customHeight="1">
      <c r="A30" s="973" t="s">
        <v>804</v>
      </c>
      <c r="B30" s="996" t="s">
        <v>2513</v>
      </c>
      <c r="C30" s="336">
        <f ca="1">ROUND((C21+C22+C23)*F28,0)</f>
        <v>0</v>
      </c>
      <c r="D30" s="328"/>
      <c r="E30" s="329"/>
      <c r="F30" s="334"/>
      <c r="G30" s="140"/>
      <c r="H30" s="981"/>
      <c r="I30" s="981"/>
      <c r="J30" s="981"/>
      <c r="K30" s="982"/>
    </row>
    <row r="31" spans="1:33" s="977" customFormat="1" ht="13.5" customHeight="1" thickBot="1">
      <c r="A31" s="2560" t="s">
        <v>2514</v>
      </c>
      <c r="B31" s="1007" t="s">
        <v>2515</v>
      </c>
      <c r="C31" s="1008">
        <f>ROUND(C4*F31/(1+'数据-取费表'!C42),0)</f>
        <v>0</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0</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2" t="s">
        <v>2529</v>
      </c>
      <c r="C1" s="1637" t="s">
        <v>2530</v>
      </c>
      <c r="D1" s="1624"/>
      <c r="E1" s="2583"/>
      <c r="F1" s="2584" t="s">
        <v>2531</v>
      </c>
      <c r="G1" s="1634" t="s">
        <v>2532</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6"/>
      <c r="D2" s="1367" t="e">
        <f ca="1">SUMIF(INDIRECT("'"&amp;F2&amp;"'"&amp;"!A:A"),"承租人权益价值",INDIRECT("'"&amp;F2&amp;"'"&amp;"!c:c"))</f>
        <v>#REF!</v>
      </c>
      <c r="E2" s="2587" t="s">
        <v>2533</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1396</v>
      </c>
      <c r="B3" s="399" t="e">
        <f ca="1">IF(C2="——",C49,ROUND(B2*10000/D3,0))</f>
        <v>#DIV/0!</v>
      </c>
      <c r="C3" s="400" t="s">
        <v>2534</v>
      </c>
      <c r="D3" s="399">
        <f>IF(D1="",'数据-汇总表'!E3,SUMIF('数据-汇总表'!$C19:$C33,D1,'数据-汇总表'!$E19:$E33))</f>
        <v>1141.77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2535</v>
      </c>
      <c r="B4" s="402"/>
      <c r="C4" s="3154" t="s">
        <v>2536</v>
      </c>
      <c r="D4" s="3155"/>
      <c r="E4" s="3156" t="s">
        <v>2537</v>
      </c>
      <c r="F4" s="3157"/>
      <c r="G4" s="3154" t="s">
        <v>2538</v>
      </c>
      <c r="H4" s="3155"/>
      <c r="I4" s="3154" t="s">
        <v>2539</v>
      </c>
      <c r="J4" s="3155"/>
      <c r="K4" s="2596" t="s">
        <v>2540</v>
      </c>
      <c r="L4" s="1132"/>
      <c r="M4" s="1133"/>
      <c r="N4" s="1133"/>
      <c r="O4" s="1133"/>
      <c r="P4" s="3158" t="s">
        <v>2541</v>
      </c>
      <c r="Q4" s="3159"/>
      <c r="R4" s="3141" t="s">
        <v>2537</v>
      </c>
      <c r="S4" s="3142"/>
      <c r="T4" s="3141" t="s">
        <v>2538</v>
      </c>
      <c r="U4" s="3142"/>
      <c r="V4" s="3166" t="s">
        <v>2539</v>
      </c>
      <c r="W4" s="3166"/>
      <c r="X4" s="1816"/>
      <c r="Y4" s="3141" t="s">
        <v>2541</v>
      </c>
      <c r="Z4" s="3142"/>
      <c r="AA4" s="3136" t="s">
        <v>2537</v>
      </c>
      <c r="AB4" s="3136" t="s">
        <v>2538</v>
      </c>
      <c r="AC4" s="3136" t="s">
        <v>2539</v>
      </c>
    </row>
    <row r="5" spans="1:29" ht="15">
      <c r="A5" s="404"/>
      <c r="B5" s="405"/>
      <c r="C5" s="3147" t="s">
        <v>2542</v>
      </c>
      <c r="D5" s="3148"/>
      <c r="E5" s="3145" t="s">
        <v>2543</v>
      </c>
      <c r="F5" s="3146"/>
      <c r="G5" s="3147" t="s">
        <v>2544</v>
      </c>
      <c r="H5" s="3148"/>
      <c r="I5" s="3147" t="s">
        <v>2545</v>
      </c>
      <c r="J5" s="3148"/>
      <c r="K5" s="2597"/>
      <c r="L5" s="1132"/>
      <c r="M5" s="1133"/>
      <c r="N5" s="1133"/>
      <c r="O5" s="1133"/>
      <c r="P5" s="3160"/>
      <c r="Q5" s="3161"/>
      <c r="R5" s="3143"/>
      <c r="S5" s="3144"/>
      <c r="T5" s="3143"/>
      <c r="U5" s="3144"/>
      <c r="V5" s="3166"/>
      <c r="W5" s="3166"/>
      <c r="X5" s="1816"/>
      <c r="Y5" s="3143"/>
      <c r="Z5" s="3144"/>
      <c r="AA5" s="3137"/>
      <c r="AB5" s="3137"/>
      <c r="AC5" s="3137"/>
    </row>
    <row r="6" spans="1:29" ht="15.75" thickBot="1">
      <c r="A6" s="406"/>
      <c r="B6" s="407"/>
      <c r="C6" s="3149" t="s">
        <v>2546</v>
      </c>
      <c r="D6" s="3150"/>
      <c r="E6" s="3151" t="s">
        <v>2546</v>
      </c>
      <c r="F6" s="3152"/>
      <c r="G6" s="3149" t="s">
        <v>2546</v>
      </c>
      <c r="H6" s="3150"/>
      <c r="I6" s="3149" t="s">
        <v>2546</v>
      </c>
      <c r="J6" s="3150"/>
      <c r="K6" s="2597" t="s">
        <v>2547</v>
      </c>
      <c r="L6" s="1132"/>
      <c r="M6" s="1133"/>
      <c r="N6" s="1133"/>
      <c r="O6" s="1133"/>
      <c r="P6" s="3162"/>
      <c r="Q6" s="3163"/>
      <c r="R6" s="3143"/>
      <c r="S6" s="3144"/>
      <c r="T6" s="3164"/>
      <c r="U6" s="3165"/>
      <c r="V6" s="3166"/>
      <c r="W6" s="3166"/>
      <c r="X6" s="1816"/>
      <c r="Y6" s="3164"/>
      <c r="Z6" s="3165"/>
      <c r="AA6" s="3138"/>
      <c r="AB6" s="3138"/>
      <c r="AC6" s="3138"/>
    </row>
    <row r="7" spans="1:29" s="117" customFormat="1" ht="15.75" thickBot="1">
      <c r="A7" s="408" t="s">
        <v>2548</v>
      </c>
      <c r="B7" s="409"/>
      <c r="C7" s="410">
        <f>'数据-取费表'!B2</f>
        <v>43102</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39" t="s">
        <v>2549</v>
      </c>
      <c r="Q7" s="3167"/>
      <c r="R7" s="770" t="s">
        <v>23</v>
      </c>
      <c r="S7" s="771">
        <f t="shared" ref="S7:S15" si="0">F7</f>
        <v>0</v>
      </c>
      <c r="T7" s="770" t="s">
        <v>23</v>
      </c>
      <c r="U7" s="771">
        <f t="shared" ref="U7:U15" si="1">H7</f>
        <v>0</v>
      </c>
      <c r="V7" s="770" t="s">
        <v>23</v>
      </c>
      <c r="W7" s="771">
        <f t="shared" ref="W7:W15" si="2">J7</f>
        <v>0</v>
      </c>
      <c r="X7" s="772"/>
      <c r="Y7" s="3139" t="s">
        <v>2549</v>
      </c>
      <c r="Z7" s="3140"/>
      <c r="AA7" s="773" t="e">
        <f>D7/F7</f>
        <v>#DIV/0!</v>
      </c>
      <c r="AB7" s="773" t="e">
        <f>D7/H7</f>
        <v>#DIV/0!</v>
      </c>
      <c r="AC7" s="773" t="e">
        <f>D7/J7</f>
        <v>#DIV/0!</v>
      </c>
    </row>
    <row r="8" spans="1:29" s="117" customFormat="1" ht="15.75" thickBot="1">
      <c r="A8" s="408" t="s">
        <v>2550</v>
      </c>
      <c r="B8" s="409"/>
      <c r="C8" s="414" t="s">
        <v>2551</v>
      </c>
      <c r="D8" s="411">
        <v>100</v>
      </c>
      <c r="E8" s="2599" t="s">
        <v>3050</v>
      </c>
      <c r="F8" s="413">
        <f>SUMIF(61:61,E8,62:62)-SUMIF(61:61,C8,62:62)+100</f>
        <v>100</v>
      </c>
      <c r="G8" s="414" t="s">
        <v>3050</v>
      </c>
      <c r="H8" s="411">
        <f>SUMIF(61:61,G8,62:62)-SUMIF(61:61,C8,62:62)+100</f>
        <v>100</v>
      </c>
      <c r="I8" s="2599" t="s">
        <v>3050</v>
      </c>
      <c r="J8" s="411">
        <f>SUMIF(61:61,I8,62:62)-SUMIF(61:61,C8,62:62)+100</f>
        <v>100</v>
      </c>
      <c r="K8" s="2598"/>
      <c r="L8" s="1134"/>
      <c r="M8" s="1135"/>
      <c r="N8" s="1135"/>
      <c r="O8" s="1135"/>
      <c r="P8" s="3139" t="s">
        <v>2552</v>
      </c>
      <c r="Q8" s="3140"/>
      <c r="R8" s="770" t="s">
        <v>23</v>
      </c>
      <c r="S8" s="771">
        <f t="shared" si="0"/>
        <v>100</v>
      </c>
      <c r="T8" s="770" t="s">
        <v>23</v>
      </c>
      <c r="U8" s="771">
        <f t="shared" si="1"/>
        <v>100</v>
      </c>
      <c r="V8" s="770" t="s">
        <v>23</v>
      </c>
      <c r="W8" s="771">
        <f t="shared" si="2"/>
        <v>100</v>
      </c>
      <c r="X8" s="772"/>
      <c r="Y8" s="3139" t="s">
        <v>2552</v>
      </c>
      <c r="Z8" s="3140"/>
      <c r="AA8" s="773">
        <f t="shared" ref="AA8:AA19" si="3">D8/F8</f>
        <v>1</v>
      </c>
      <c r="AB8" s="773">
        <f t="shared" ref="AB8:AB19" si="4">D8/H8</f>
        <v>1</v>
      </c>
      <c r="AC8" s="773">
        <f t="shared" ref="AC8:AC19" si="5">D8/J8</f>
        <v>1</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53" t="s">
        <v>2555</v>
      </c>
      <c r="Q9" s="1798" t="str">
        <f t="shared" ref="Q9:Q15" si="6">B9</f>
        <v>用途</v>
      </c>
      <c r="R9" s="770" t="s">
        <v>17</v>
      </c>
      <c r="S9" s="771">
        <f t="shared" si="0"/>
        <v>100</v>
      </c>
      <c r="T9" s="770" t="s">
        <v>17</v>
      </c>
      <c r="U9" s="771">
        <f t="shared" si="1"/>
        <v>100</v>
      </c>
      <c r="V9" s="770" t="s">
        <v>17</v>
      </c>
      <c r="W9" s="771">
        <f t="shared" si="2"/>
        <v>100</v>
      </c>
      <c r="X9" s="772"/>
      <c r="Y9" s="301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53"/>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53"/>
      <c r="Q11" s="1798" t="str">
        <f t="shared" si="6"/>
        <v>容积率</v>
      </c>
      <c r="R11" s="770" t="s">
        <v>21</v>
      </c>
      <c r="S11" s="771">
        <f t="shared" si="0"/>
        <v>100</v>
      </c>
      <c r="T11" s="770" t="s">
        <v>21</v>
      </c>
      <c r="U11" s="771">
        <f t="shared" si="1"/>
        <v>100</v>
      </c>
      <c r="V11" s="770" t="s">
        <v>21</v>
      </c>
      <c r="W11" s="771">
        <f t="shared" si="2"/>
        <v>100</v>
      </c>
      <c r="X11" s="772"/>
      <c r="Y11" s="3013"/>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53"/>
      <c r="Q12" s="1798">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53"/>
      <c r="Q13" s="1798">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53"/>
      <c r="Q14" s="1798">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2559</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80" t="s">
        <v>2560</v>
      </c>
      <c r="Q15" s="1813" t="str">
        <f t="shared" si="6"/>
        <v>居住社区成熟度</v>
      </c>
      <c r="R15" s="774" t="s">
        <v>21</v>
      </c>
      <c r="S15" s="775">
        <f t="shared" si="0"/>
        <v>100</v>
      </c>
      <c r="T15" s="774" t="s">
        <v>21</v>
      </c>
      <c r="U15" s="775">
        <f t="shared" si="1"/>
        <v>100</v>
      </c>
      <c r="V15" s="774" t="s">
        <v>21</v>
      </c>
      <c r="W15" s="775">
        <f t="shared" si="2"/>
        <v>100</v>
      </c>
      <c r="X15" s="1816"/>
      <c r="Y15" s="3173" t="s">
        <v>2560</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2"/>
      <c r="M16" s="1133"/>
      <c r="N16" s="1133"/>
      <c r="O16" s="1133"/>
      <c r="P16" s="3181"/>
      <c r="Q16" s="1813"/>
      <c r="R16" s="774"/>
      <c r="S16" s="775"/>
      <c r="T16" s="774"/>
      <c r="U16" s="775"/>
      <c r="V16" s="774"/>
      <c r="W16" s="775"/>
      <c r="X16" s="1816"/>
      <c r="Y16" s="3174"/>
      <c r="Z16" s="1817"/>
      <c r="AA16" s="1814">
        <v>1</v>
      </c>
      <c r="AB16" s="1814">
        <v>1</v>
      </c>
      <c r="AC16" s="1814">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81"/>
      <c r="Q17" s="1813" t="str">
        <f>B17</f>
        <v>交通便捷度</v>
      </c>
      <c r="R17" s="774" t="s">
        <v>21</v>
      </c>
      <c r="S17" s="775">
        <f>F17</f>
        <v>100</v>
      </c>
      <c r="T17" s="774" t="s">
        <v>21</v>
      </c>
      <c r="U17" s="775">
        <f>H17</f>
        <v>100</v>
      </c>
      <c r="V17" s="774" t="s">
        <v>21</v>
      </c>
      <c r="W17" s="775">
        <f>J17</f>
        <v>100</v>
      </c>
      <c r="X17" s="1816"/>
      <c r="Y17" s="3174"/>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2"/>
      <c r="M18" s="1133"/>
      <c r="N18" s="1133"/>
      <c r="O18" s="1133"/>
      <c r="P18" s="3181"/>
      <c r="Q18" s="1813"/>
      <c r="R18" s="774"/>
      <c r="S18" s="775"/>
      <c r="T18" s="774"/>
      <c r="U18" s="775"/>
      <c r="V18" s="774"/>
      <c r="W18" s="775"/>
      <c r="X18" s="1816"/>
      <c r="Y18" s="3174"/>
      <c r="Z18" s="1817"/>
      <c r="AA18" s="1814">
        <v>1</v>
      </c>
      <c r="AB18" s="1814">
        <v>1</v>
      </c>
      <c r="AC18" s="1814">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81"/>
      <c r="Q19" s="1813" t="str">
        <f>B19</f>
        <v>公共配套设施</v>
      </c>
      <c r="R19" s="774" t="s">
        <v>21</v>
      </c>
      <c r="S19" s="775">
        <f>F19</f>
        <v>100</v>
      </c>
      <c r="T19" s="774" t="s">
        <v>21</v>
      </c>
      <c r="U19" s="775">
        <f>H19</f>
        <v>100</v>
      </c>
      <c r="V19" s="774" t="s">
        <v>21</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2"/>
      <c r="M20" s="1133"/>
      <c r="N20" s="1133"/>
      <c r="O20" s="1133"/>
      <c r="P20" s="3181"/>
      <c r="Q20" s="1813"/>
      <c r="R20" s="774"/>
      <c r="S20" s="775"/>
      <c r="T20" s="774"/>
      <c r="U20" s="775"/>
      <c r="V20" s="774"/>
      <c r="W20" s="775"/>
      <c r="X20" s="1816"/>
      <c r="Y20" s="3174"/>
      <c r="Z20" s="1817"/>
      <c r="AA20" s="1814">
        <v>1</v>
      </c>
      <c r="AB20" s="1814">
        <v>1</v>
      </c>
      <c r="AC20" s="1814">
        <v>1</v>
      </c>
    </row>
    <row r="21" spans="1:29" ht="28.5">
      <c r="A21" s="428"/>
      <c r="B21" s="1386"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6"/>
      <c r="C22" s="2608"/>
      <c r="D22" s="448"/>
      <c r="E22" s="447"/>
      <c r="F22" s="448"/>
      <c r="G22" s="2611"/>
      <c r="H22" s="448"/>
      <c r="I22" s="447"/>
      <c r="J22" s="448"/>
      <c r="K22" s="2612"/>
      <c r="L22" s="1142"/>
      <c r="M22" s="1133"/>
      <c r="N22" s="1133"/>
      <c r="O22" s="1133"/>
      <c r="P22" s="3181"/>
      <c r="Q22" s="1813"/>
      <c r="R22" s="774"/>
      <c r="S22" s="775"/>
      <c r="T22" s="774"/>
      <c r="U22" s="775"/>
      <c r="V22" s="774"/>
      <c r="W22" s="775"/>
      <c r="X22" s="1816"/>
      <c r="Y22" s="3174"/>
      <c r="Z22" s="1817"/>
      <c r="AA22" s="1814">
        <v>1</v>
      </c>
      <c r="AB22" s="1814">
        <v>1</v>
      </c>
      <c r="AC22" s="1814">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81"/>
      <c r="Q23" s="1813" t="str">
        <f>B23</f>
        <v>自然及人文环境</v>
      </c>
      <c r="R23" s="774" t="s">
        <v>21</v>
      </c>
      <c r="S23" s="775">
        <f>F23</f>
        <v>100</v>
      </c>
      <c r="T23" s="774" t="s">
        <v>21</v>
      </c>
      <c r="U23" s="775">
        <f>H23</f>
        <v>100</v>
      </c>
      <c r="V23" s="774" t="s">
        <v>21</v>
      </c>
      <c r="W23" s="775">
        <f>J23</f>
        <v>100</v>
      </c>
      <c r="X23" s="1816"/>
      <c r="Y23" s="3174"/>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2"/>
      <c r="M24" s="1133"/>
      <c r="N24" s="1133"/>
      <c r="O24" s="1133"/>
      <c r="P24" s="3181"/>
      <c r="Q24" s="1813"/>
      <c r="R24" s="774"/>
      <c r="S24" s="775"/>
      <c r="T24" s="774"/>
      <c r="U24" s="775"/>
      <c r="V24" s="774"/>
      <c r="W24" s="775"/>
      <c r="X24" s="1816"/>
      <c r="Y24" s="3174"/>
      <c r="Z24" s="1817"/>
      <c r="AA24" s="1814">
        <v>1</v>
      </c>
      <c r="AB24" s="1814">
        <v>1</v>
      </c>
      <c r="AC24" s="1814">
        <v>1</v>
      </c>
    </row>
    <row r="25" spans="1:29" ht="15">
      <c r="A25" s="428"/>
      <c r="B25" s="42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8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4"/>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81"/>
      <c r="Q26" s="1813" t="str">
        <f t="shared" si="11"/>
        <v>朝向</v>
      </c>
      <c r="R26" s="774" t="s">
        <v>21</v>
      </c>
      <c r="S26" s="775">
        <f t="shared" si="12"/>
        <v>100</v>
      </c>
      <c r="T26" s="774" t="s">
        <v>21</v>
      </c>
      <c r="U26" s="775">
        <f t="shared" si="13"/>
        <v>100</v>
      </c>
      <c r="V26" s="774" t="s">
        <v>21</v>
      </c>
      <c r="W26" s="775">
        <f t="shared" si="14"/>
        <v>100</v>
      </c>
      <c r="X26" s="1816"/>
      <c r="Y26" s="3174"/>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81"/>
      <c r="Q27" s="1798">
        <f t="shared" si="11"/>
        <v>111</v>
      </c>
      <c r="R27" s="770" t="s">
        <v>21</v>
      </c>
      <c r="S27" s="771">
        <f t="shared" si="12"/>
        <v>100</v>
      </c>
      <c r="T27" s="770" t="s">
        <v>21</v>
      </c>
      <c r="U27" s="771">
        <f t="shared" si="13"/>
        <v>100</v>
      </c>
      <c r="V27" s="770" t="s">
        <v>21</v>
      </c>
      <c r="W27" s="771">
        <f t="shared" si="14"/>
        <v>100</v>
      </c>
      <c r="X27" s="772"/>
      <c r="Y27" s="3174"/>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81"/>
      <c r="Q28" s="1813">
        <f t="shared" si="11"/>
        <v>111</v>
      </c>
      <c r="R28" s="774" t="s">
        <v>21</v>
      </c>
      <c r="S28" s="775">
        <f t="shared" si="12"/>
        <v>100</v>
      </c>
      <c r="T28" s="774" t="s">
        <v>21</v>
      </c>
      <c r="U28" s="775">
        <f t="shared" si="13"/>
        <v>100</v>
      </c>
      <c r="V28" s="774" t="s">
        <v>21</v>
      </c>
      <c r="W28" s="775">
        <f t="shared" si="14"/>
        <v>100</v>
      </c>
      <c r="X28" s="1816"/>
      <c r="Y28" s="3174"/>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81"/>
      <c r="Q29" s="1813">
        <f t="shared" si="11"/>
        <v>111</v>
      </c>
      <c r="R29" s="774" t="s">
        <v>21</v>
      </c>
      <c r="S29" s="775">
        <f t="shared" si="12"/>
        <v>100</v>
      </c>
      <c r="T29" s="774" t="s">
        <v>21</v>
      </c>
      <c r="U29" s="775">
        <f t="shared" si="13"/>
        <v>100</v>
      </c>
      <c r="V29" s="774" t="s">
        <v>21</v>
      </c>
      <c r="W29" s="775">
        <f t="shared" si="14"/>
        <v>100</v>
      </c>
      <c r="X29" s="1816"/>
      <c r="Y29" s="3174"/>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81"/>
      <c r="Q30" s="1813">
        <f t="shared" si="11"/>
        <v>111</v>
      </c>
      <c r="R30" s="774" t="s">
        <v>21</v>
      </c>
      <c r="S30" s="775">
        <f t="shared" si="12"/>
        <v>100</v>
      </c>
      <c r="T30" s="774" t="s">
        <v>21</v>
      </c>
      <c r="U30" s="775">
        <f t="shared" si="13"/>
        <v>100</v>
      </c>
      <c r="V30" s="774" t="s">
        <v>21</v>
      </c>
      <c r="W30" s="775">
        <f t="shared" si="14"/>
        <v>100</v>
      </c>
      <c r="X30" s="1816"/>
      <c r="Y30" s="3174"/>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81"/>
      <c r="Q31" s="1813">
        <f t="shared" si="11"/>
        <v>111</v>
      </c>
      <c r="R31" s="774" t="s">
        <v>21</v>
      </c>
      <c r="S31" s="775">
        <f t="shared" si="12"/>
        <v>100</v>
      </c>
      <c r="T31" s="774" t="s">
        <v>21</v>
      </c>
      <c r="U31" s="775">
        <f t="shared" si="13"/>
        <v>100</v>
      </c>
      <c r="V31" s="774" t="s">
        <v>21</v>
      </c>
      <c r="W31" s="775">
        <f t="shared" si="14"/>
        <v>100</v>
      </c>
      <c r="X31" s="1816"/>
      <c r="Y31" s="3174"/>
      <c r="Z31" s="1817">
        <f t="shared" si="18"/>
        <v>111</v>
      </c>
      <c r="AA31" s="1814">
        <f t="shared" si="15"/>
        <v>1</v>
      </c>
      <c r="AB31" s="1814">
        <f t="shared" si="16"/>
        <v>1</v>
      </c>
      <c r="AC31" s="1814">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75" t="s">
        <v>2565</v>
      </c>
      <c r="Q32" s="1813" t="str">
        <f t="shared" si="11"/>
        <v>建筑类型</v>
      </c>
      <c r="R32" s="774" t="s">
        <v>21</v>
      </c>
      <c r="S32" s="775">
        <f t="shared" si="12"/>
        <v>100</v>
      </c>
      <c r="T32" s="774" t="s">
        <v>21</v>
      </c>
      <c r="U32" s="775">
        <f t="shared" si="13"/>
        <v>100</v>
      </c>
      <c r="V32" s="774" t="s">
        <v>21</v>
      </c>
      <c r="W32" s="775">
        <f t="shared" si="14"/>
        <v>100</v>
      </c>
      <c r="X32" s="1816"/>
      <c r="Y32" s="3178"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40"/>
      <c r="M33" s="1143"/>
      <c r="N33" s="1143"/>
      <c r="O33" s="1143"/>
      <c r="P33" s="3176"/>
      <c r="Q33" s="776" t="str">
        <f t="shared" si="11"/>
        <v>项目建筑规模</v>
      </c>
      <c r="R33" s="777" t="s">
        <v>21</v>
      </c>
      <c r="S33" s="778">
        <f t="shared" si="12"/>
        <v>100</v>
      </c>
      <c r="T33" s="777" t="s">
        <v>21</v>
      </c>
      <c r="U33" s="778">
        <f t="shared" si="13"/>
        <v>100</v>
      </c>
      <c r="V33" s="777" t="s">
        <v>21</v>
      </c>
      <c r="W33" s="778">
        <f t="shared" si="14"/>
        <v>100</v>
      </c>
      <c r="X33" s="779"/>
      <c r="Y33" s="3178"/>
      <c r="Z33" s="780" t="str">
        <f t="shared" si="18"/>
        <v>项目建筑规模</v>
      </c>
      <c r="AA33" s="1814">
        <f t="shared" si="15"/>
        <v>1</v>
      </c>
      <c r="AB33" s="1814">
        <f t="shared" si="16"/>
        <v>1</v>
      </c>
      <c r="AC33" s="1814">
        <f t="shared" si="17"/>
        <v>1</v>
      </c>
    </row>
    <row r="34" spans="1:29" ht="15">
      <c r="A34" s="472"/>
      <c r="B34" s="42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76"/>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76"/>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76"/>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76"/>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76" t="s">
        <v>2565</v>
      </c>
      <c r="Q38" s="1813" t="str">
        <f t="shared" si="11"/>
        <v>物业管理</v>
      </c>
      <c r="R38" s="774" t="s">
        <v>21</v>
      </c>
      <c r="S38" s="775">
        <f t="shared" si="12"/>
        <v>100</v>
      </c>
      <c r="T38" s="774" t="s">
        <v>21</v>
      </c>
      <c r="U38" s="775">
        <f t="shared" si="13"/>
        <v>100</v>
      </c>
      <c r="V38" s="774" t="s">
        <v>21</v>
      </c>
      <c r="W38" s="775">
        <f t="shared" si="14"/>
        <v>100</v>
      </c>
      <c r="X38" s="1816"/>
      <c r="Y38" s="3178" t="s">
        <v>2565</v>
      </c>
      <c r="Z38" s="1817" t="str">
        <f t="shared" si="18"/>
        <v>物业管理</v>
      </c>
      <c r="AA38" s="1814">
        <f t="shared" si="15"/>
        <v>1</v>
      </c>
      <c r="AB38" s="1814">
        <f t="shared" si="16"/>
        <v>1</v>
      </c>
      <c r="AC38" s="1814">
        <f t="shared" si="17"/>
        <v>1</v>
      </c>
    </row>
    <row r="39" spans="1:29" ht="15">
      <c r="A39" s="472"/>
      <c r="B39" s="42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76"/>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76"/>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76"/>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76"/>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76"/>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76"/>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77"/>
      <c r="Q46" s="1813">
        <f t="shared" si="11"/>
        <v>111</v>
      </c>
      <c r="R46" s="774" t="s">
        <v>20</v>
      </c>
      <c r="S46" s="775">
        <f t="shared" si="12"/>
        <v>100</v>
      </c>
      <c r="T46" s="774" t="s">
        <v>20</v>
      </c>
      <c r="U46" s="775">
        <f t="shared" si="13"/>
        <v>100</v>
      </c>
      <c r="V46" s="774" t="s">
        <v>20</v>
      </c>
      <c r="W46" s="775">
        <f t="shared" si="14"/>
        <v>100</v>
      </c>
      <c r="X46" s="1816"/>
      <c r="Y46" s="3179"/>
      <c r="Z46" s="1817">
        <f t="shared" si="18"/>
        <v>111</v>
      </c>
      <c r="AA46" s="1814">
        <f t="shared" si="15"/>
        <v>1</v>
      </c>
      <c r="AB46" s="1814">
        <f t="shared" si="16"/>
        <v>1</v>
      </c>
      <c r="AC46" s="1814">
        <f t="shared" si="17"/>
        <v>1</v>
      </c>
    </row>
    <row r="47" spans="1:29" ht="15">
      <c r="A47" s="479" t="s">
        <v>2577</v>
      </c>
      <c r="B47" s="480"/>
      <c r="C47" s="1409" t="s">
        <v>19</v>
      </c>
      <c r="D47" s="1410"/>
      <c r="E47" s="1411"/>
      <c r="F47" s="1412"/>
      <c r="G47" s="1413"/>
      <c r="H47" s="1414"/>
      <c r="I47" s="1411"/>
      <c r="J47" s="1414"/>
      <c r="K47" s="2621"/>
      <c r="L47" s="1145"/>
      <c r="M47" s="1146"/>
      <c r="N47" s="1133"/>
      <c r="O47" s="1146"/>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2578</v>
      </c>
      <c r="B48" s="487"/>
      <c r="C48" s="1415" t="e">
        <f>R49</f>
        <v>#DIV/0!</v>
      </c>
      <c r="D48" s="1416"/>
      <c r="E48" s="1417" t="e">
        <f>R48</f>
        <v>#DIV/0!</v>
      </c>
      <c r="F48" s="1417"/>
      <c r="G48" s="1415" t="e">
        <f>T48</f>
        <v>#DIV/0!</v>
      </c>
      <c r="H48" s="1416"/>
      <c r="I48" s="1417" t="e">
        <f>V48</f>
        <v>#DIV/0!</v>
      </c>
      <c r="J48" s="1416"/>
      <c r="K48" s="2622"/>
      <c r="L48" s="1145"/>
      <c r="M48" s="1146"/>
      <c r="N48" s="1146"/>
      <c r="O48" s="1146"/>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2579</v>
      </c>
      <c r="B49" s="493"/>
      <c r="C49" s="1418" t="e">
        <f>R49</f>
        <v>#DIV/0!</v>
      </c>
      <c r="D49" s="1419"/>
      <c r="E49" s="1419"/>
      <c r="F49" s="1419"/>
      <c r="G49" s="1419"/>
      <c r="H49" s="1419"/>
      <c r="I49" s="1419"/>
      <c r="J49" s="1419"/>
      <c r="K49" s="2623"/>
      <c r="L49" s="1145"/>
      <c r="M49" s="1146"/>
      <c r="N49" s="1146"/>
      <c r="O49" s="1146"/>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2583</v>
      </c>
      <c r="B57" s="759"/>
      <c r="C57" s="764"/>
      <c r="D57" s="764"/>
      <c r="E57" s="764"/>
      <c r="F57" s="765"/>
      <c r="G57" s="765"/>
      <c r="H57" s="764"/>
      <c r="I57" s="764"/>
      <c r="J57" s="764"/>
      <c r="K57" s="1162"/>
      <c r="L57" s="1163"/>
      <c r="M57" s="1161"/>
      <c r="N57" s="1161"/>
      <c r="O57" s="1161"/>
      <c r="P57" s="2626"/>
      <c r="Q57" s="504"/>
    </row>
    <row r="58" spans="1:29" s="508" customFormat="1" ht="15">
      <c r="A58" s="505" t="s">
        <v>2584</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2588</v>
      </c>
      <c r="B63" s="528" t="s">
        <v>2554</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v>0</v>
      </c>
      <c r="D68" s="549">
        <v>1</v>
      </c>
      <c r="E68" s="549">
        <v>2</v>
      </c>
      <c r="F68" s="549">
        <v>3</v>
      </c>
      <c r="G68" s="549">
        <v>4</v>
      </c>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2097</v>
      </c>
      <c r="C82" s="539" t="s">
        <v>2604</v>
      </c>
      <c r="D82" s="539" t="s">
        <v>2605</v>
      </c>
      <c r="E82" s="539" t="s">
        <v>2606</v>
      </c>
      <c r="F82" s="539" t="s">
        <v>2607</v>
      </c>
      <c r="G82" s="539" t="s">
        <v>2608</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2610</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2611</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2563</v>
      </c>
      <c r="B100" s="528" t="s">
        <v>2612</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2613</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2614</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2615</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2616</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2617</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2618</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2619</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2574</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2620</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6">
        <v>6</v>
      </c>
      <c r="C139" s="1087">
        <v>96</v>
      </c>
      <c r="D139" s="2648" t="s">
        <v>2631</v>
      </c>
      <c r="E139" s="1088">
        <v>100</v>
      </c>
      <c r="F139" s="1089">
        <v>102.5</v>
      </c>
      <c r="G139" s="2648" t="s">
        <v>2631</v>
      </c>
      <c r="H139" s="1090">
        <v>105</v>
      </c>
      <c r="I139" s="2649" t="s">
        <v>2632</v>
      </c>
      <c r="J139" s="1087">
        <v>20</v>
      </c>
      <c r="K139" s="1091">
        <f>C145/(J139-2)</f>
        <v>4.0555555555555553E-3</v>
      </c>
    </row>
    <row r="140" spans="1:17" ht="15">
      <c r="B140" s="1092">
        <v>5</v>
      </c>
      <c r="C140" s="1093">
        <v>100</v>
      </c>
      <c r="D140" s="1093"/>
      <c r="E140" s="1094"/>
      <c r="F140" s="1095">
        <v>102</v>
      </c>
      <c r="G140" s="1093"/>
      <c r="H140" s="1096"/>
      <c r="I140" s="2650" t="s">
        <v>2633</v>
      </c>
      <c r="J140" s="315">
        <f>ROUNDUP((J139-1)/2,0)</f>
        <v>10</v>
      </c>
      <c r="K140" s="1097">
        <v>100</v>
      </c>
    </row>
    <row r="141" spans="1:17" ht="15">
      <c r="B141" s="1092">
        <v>4</v>
      </c>
      <c r="C141" s="1093">
        <v>102</v>
      </c>
      <c r="D141" s="1093"/>
      <c r="E141" s="1094"/>
      <c r="F141" s="1095">
        <v>101.5</v>
      </c>
      <c r="G141" s="1093"/>
      <c r="H141" s="1096"/>
      <c r="I141" s="2650" t="s">
        <v>2634</v>
      </c>
      <c r="J141" s="315">
        <v>1</v>
      </c>
      <c r="K141" s="1098">
        <f>ROUND(100+(J141-J140)*K139*100,1)</f>
        <v>96.4</v>
      </c>
    </row>
    <row r="142" spans="1:17" ht="15">
      <c r="B142" s="1092">
        <v>3</v>
      </c>
      <c r="C142" s="1093">
        <v>103</v>
      </c>
      <c r="D142" s="1093"/>
      <c r="E142" s="1094"/>
      <c r="F142" s="1095">
        <v>101</v>
      </c>
      <c r="G142" s="1093"/>
      <c r="H142" s="1096"/>
      <c r="I142" s="2650" t="s">
        <v>2635</v>
      </c>
      <c r="J142" s="315">
        <f>J139</f>
        <v>20</v>
      </c>
      <c r="K142" s="1099">
        <v>95</v>
      </c>
    </row>
    <row r="143" spans="1:17" ht="15">
      <c r="B143" s="1092">
        <v>2</v>
      </c>
      <c r="C143" s="1093">
        <v>100</v>
      </c>
      <c r="D143" s="1093"/>
      <c r="E143" s="1094"/>
      <c r="F143" s="1095">
        <v>100.5</v>
      </c>
      <c r="G143" s="1093"/>
      <c r="H143" s="1096"/>
      <c r="I143" s="2650" t="s">
        <v>2636</v>
      </c>
      <c r="J143" s="1093">
        <v>15</v>
      </c>
      <c r="K143" s="1098">
        <f>ROUND(100+(J143-J140)*K139*100,1)</f>
        <v>102</v>
      </c>
    </row>
    <row r="144" spans="1:17" ht="15">
      <c r="B144" s="1092">
        <v>1</v>
      </c>
      <c r="C144" s="1093">
        <v>98</v>
      </c>
      <c r="D144" s="2651" t="s">
        <v>2637</v>
      </c>
      <c r="E144" s="1094">
        <v>102</v>
      </c>
      <c r="F144" s="1100">
        <v>100</v>
      </c>
      <c r="G144" s="2651" t="s">
        <v>2637</v>
      </c>
      <c r="H144" s="1096">
        <v>105</v>
      </c>
      <c r="I144" s="2650" t="s">
        <v>2636</v>
      </c>
      <c r="J144" s="1093">
        <v>18</v>
      </c>
      <c r="K144" s="1098">
        <f>ROUND(100+(J144-J140)*K139*100,1)</f>
        <v>103.2</v>
      </c>
    </row>
    <row r="145" spans="2:11" ht="15.75" thickBot="1">
      <c r="B145" s="2652" t="s">
        <v>2638</v>
      </c>
      <c r="C145" s="1101">
        <f>ROUND(MAX(C139:C144)/MIN(C139:C144)-1,3)</f>
        <v>7.2999999999999995E-2</v>
      </c>
      <c r="D145" s="1102"/>
      <c r="E145" s="1102"/>
      <c r="F145" s="2653" t="s">
        <v>2639</v>
      </c>
      <c r="G145" s="2654"/>
      <c r="H145" s="2655"/>
      <c r="I145" s="2656" t="s">
        <v>2636</v>
      </c>
      <c r="J145" s="1103">
        <v>8</v>
      </c>
      <c r="K145" s="1104">
        <f>ROUND(100+(J145-J140)*K139*100,1)</f>
        <v>99.2</v>
      </c>
    </row>
    <row r="147" spans="2:11">
      <c r="B147" s="2637" t="s">
        <v>2640</v>
      </c>
    </row>
    <row r="148" spans="2:11">
      <c r="B148" s="2637"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I48" sqref="I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69" t="s">
        <v>2686</v>
      </c>
      <c r="C1" s="1623" t="s">
        <v>2530</v>
      </c>
      <c r="D1" s="1624" t="s">
        <v>3070</v>
      </c>
      <c r="E1" s="1633"/>
      <c r="F1" s="2584" t="s">
        <v>3092</v>
      </c>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f>IF(C2="——",ROUND(C50*D3/10000,0),ROUND(C50*D3/10000,0)-D2)</f>
        <v>498</v>
      </c>
      <c r="C2" s="2586" t="s">
        <v>70</v>
      </c>
      <c r="D2" s="1367" t="e">
        <f ca="1">SUMIF(INDIRECT("'"&amp;F2&amp;"'"&amp;"!A:A"),"承租人权益价值",INDIRECT("'"&amp;F2&amp;"'"&amp;"!c:c"))</f>
        <v>#REF!</v>
      </c>
      <c r="E2" s="2587" t="s">
        <v>2328</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48064</v>
      </c>
      <c r="C3" s="400" t="s">
        <v>2644</v>
      </c>
      <c r="D3" s="399">
        <f>IF(D1="",'数据-汇总表'!E3,SUMIF('数据-汇总表'!$C19:$C33,D1,'数据-汇总表'!$E19:$E33))</f>
        <v>103.53</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2645</v>
      </c>
      <c r="B4" s="402"/>
      <c r="C4" s="3154" t="s">
        <v>2646</v>
      </c>
      <c r="D4" s="3155"/>
      <c r="E4" s="3156" t="s">
        <v>2647</v>
      </c>
      <c r="F4" s="3157"/>
      <c r="G4" s="3154" t="s">
        <v>2648</v>
      </c>
      <c r="H4" s="3155"/>
      <c r="I4" s="3154" t="s">
        <v>2649</v>
      </c>
      <c r="J4" s="3155"/>
      <c r="K4" s="610" t="s">
        <v>2650</v>
      </c>
      <c r="L4" s="1132"/>
      <c r="M4" s="1133"/>
      <c r="N4" s="1133"/>
      <c r="O4" s="1133"/>
      <c r="P4" s="3215" t="s">
        <v>2651</v>
      </c>
      <c r="Q4" s="3216"/>
      <c r="R4" s="3210" t="s">
        <v>2647</v>
      </c>
      <c r="S4" s="3211"/>
      <c r="T4" s="3210" t="s">
        <v>2648</v>
      </c>
      <c r="U4" s="3211"/>
      <c r="V4" s="3219" t="s">
        <v>2649</v>
      </c>
      <c r="W4" s="3219"/>
      <c r="X4" s="2670"/>
      <c r="Y4" s="3210" t="s">
        <v>2651</v>
      </c>
      <c r="Z4" s="3211"/>
      <c r="AA4" s="3209" t="s">
        <v>2647</v>
      </c>
      <c r="AB4" s="3209" t="s">
        <v>2648</v>
      </c>
      <c r="AC4" s="3212" t="s">
        <v>2649</v>
      </c>
    </row>
    <row r="5" spans="1:29" ht="15">
      <c r="A5" s="404"/>
      <c r="B5" s="405"/>
      <c r="C5" s="3147" t="s">
        <v>2542</v>
      </c>
      <c r="D5" s="3148"/>
      <c r="E5" s="3145" t="s">
        <v>3093</v>
      </c>
      <c r="F5" s="3146"/>
      <c r="G5" s="3147" t="s">
        <v>3093</v>
      </c>
      <c r="H5" s="3148"/>
      <c r="I5" s="3147" t="s">
        <v>3093</v>
      </c>
      <c r="J5" s="3148"/>
      <c r="K5" s="610"/>
      <c r="L5" s="1132"/>
      <c r="M5" s="1133"/>
      <c r="N5" s="1133"/>
      <c r="O5" s="1133"/>
      <c r="P5" s="3217"/>
      <c r="Q5" s="3161"/>
      <c r="R5" s="3143"/>
      <c r="S5" s="3144"/>
      <c r="T5" s="3143"/>
      <c r="U5" s="3144"/>
      <c r="V5" s="3166"/>
      <c r="W5" s="3166"/>
      <c r="X5" s="1816"/>
      <c r="Y5" s="3143"/>
      <c r="Z5" s="3144"/>
      <c r="AA5" s="3137"/>
      <c r="AB5" s="3137"/>
      <c r="AC5" s="3213"/>
    </row>
    <row r="6" spans="1:29" ht="15.75" thickBot="1">
      <c r="A6" s="406"/>
      <c r="B6" s="407"/>
      <c r="C6" s="3149" t="s">
        <v>2546</v>
      </c>
      <c r="D6" s="3150"/>
      <c r="E6" s="3151" t="s">
        <v>3094</v>
      </c>
      <c r="F6" s="3152"/>
      <c r="G6" s="3149" t="s">
        <v>3094</v>
      </c>
      <c r="H6" s="3150"/>
      <c r="I6" s="3149" t="s">
        <v>3094</v>
      </c>
      <c r="J6" s="3150"/>
      <c r="K6" s="610" t="s">
        <v>2547</v>
      </c>
      <c r="L6" s="1132"/>
      <c r="M6" s="1133"/>
      <c r="N6" s="1133"/>
      <c r="O6" s="1133"/>
      <c r="P6" s="3218"/>
      <c r="Q6" s="3163"/>
      <c r="R6" s="3143"/>
      <c r="S6" s="3144"/>
      <c r="T6" s="3164"/>
      <c r="U6" s="3165"/>
      <c r="V6" s="3166"/>
      <c r="W6" s="3166"/>
      <c r="X6" s="1816"/>
      <c r="Y6" s="3164"/>
      <c r="Z6" s="3165"/>
      <c r="AA6" s="3138"/>
      <c r="AB6" s="3138"/>
      <c r="AC6" s="3214"/>
    </row>
    <row r="7" spans="1:29" s="117" customFormat="1" ht="15.75" thickBot="1">
      <c r="A7" s="408" t="s">
        <v>2548</v>
      </c>
      <c r="B7" s="409"/>
      <c r="C7" s="410">
        <f>'数据-取费表'!B2</f>
        <v>43102</v>
      </c>
      <c r="D7" s="411">
        <v>100</v>
      </c>
      <c r="E7" s="412">
        <f>C7</f>
        <v>43102</v>
      </c>
      <c r="F7" s="413">
        <f>SUMIF(59:59,YEAR(E7)&amp;"-"&amp;MONTH(E7),60:60)</f>
        <v>100</v>
      </c>
      <c r="G7" s="412">
        <f>C7</f>
        <v>43102</v>
      </c>
      <c r="H7" s="411">
        <f>SUMIF(59:59,YEAR(G7)&amp;"-"&amp;MONTH(G7),60:60)</f>
        <v>100</v>
      </c>
      <c r="I7" s="412">
        <f>C7</f>
        <v>43102</v>
      </c>
      <c r="J7" s="411">
        <f>SUMIF(59:59,YEAR(I7)&amp;"-"&amp;MONTH(I7),60:60)</f>
        <v>100</v>
      </c>
      <c r="K7" s="611"/>
      <c r="L7" s="1134"/>
      <c r="M7" s="1135"/>
      <c r="N7" s="1135"/>
      <c r="O7" s="1135"/>
      <c r="P7" s="3220" t="s">
        <v>2549</v>
      </c>
      <c r="Q7" s="3167"/>
      <c r="R7" s="770" t="s">
        <v>17</v>
      </c>
      <c r="S7" s="771">
        <f t="shared" ref="S7:S15" si="0">F7</f>
        <v>100</v>
      </c>
      <c r="T7" s="770" t="s">
        <v>17</v>
      </c>
      <c r="U7" s="771">
        <f t="shared" ref="U7:U15" si="1">H7</f>
        <v>100</v>
      </c>
      <c r="V7" s="770" t="s">
        <v>17</v>
      </c>
      <c r="W7" s="771">
        <f t="shared" ref="W7:W15" si="2">J7</f>
        <v>100</v>
      </c>
      <c r="X7" s="772"/>
      <c r="Y7" s="3139" t="s">
        <v>2549</v>
      </c>
      <c r="Z7" s="3140"/>
      <c r="AA7" s="773">
        <f>D7/F7</f>
        <v>1</v>
      </c>
      <c r="AB7" s="773">
        <f>D7/H7</f>
        <v>1</v>
      </c>
      <c r="AC7" s="2671">
        <f>D7/J7</f>
        <v>1</v>
      </c>
    </row>
    <row r="8" spans="1:29" s="117" customFormat="1" ht="15.75" thickBot="1">
      <c r="A8" s="408" t="s">
        <v>2550</v>
      </c>
      <c r="B8" s="409"/>
      <c r="C8" s="414" t="s">
        <v>2652</v>
      </c>
      <c r="D8" s="411">
        <v>100</v>
      </c>
      <c r="E8" s="414" t="s">
        <v>2587</v>
      </c>
      <c r="F8" s="413">
        <f>SUMIF(62:62,E8,63:63)-SUMIF(62:62,C8,63:63)+100</f>
        <v>100</v>
      </c>
      <c r="G8" s="414" t="s">
        <v>2587</v>
      </c>
      <c r="H8" s="411">
        <f>SUMIF(62:62,G8,63:63)-SUMIF(62:62,C8,63:63)+100</f>
        <v>100</v>
      </c>
      <c r="I8" s="414" t="s">
        <v>2587</v>
      </c>
      <c r="J8" s="411">
        <f>SUMIF(62:62,I8,63:63)-SUMIF(62:62,C8,63:63)+100</f>
        <v>100</v>
      </c>
      <c r="K8" s="611"/>
      <c r="L8" s="1134"/>
      <c r="M8" s="1135"/>
      <c r="N8" s="1135"/>
      <c r="O8" s="1135"/>
      <c r="P8" s="3220" t="s">
        <v>2552</v>
      </c>
      <c r="Q8" s="3140"/>
      <c r="R8" s="770" t="s">
        <v>17</v>
      </c>
      <c r="S8" s="771">
        <f t="shared" si="0"/>
        <v>100</v>
      </c>
      <c r="T8" s="770" t="s">
        <v>17</v>
      </c>
      <c r="U8" s="771">
        <f t="shared" si="1"/>
        <v>100</v>
      </c>
      <c r="V8" s="770" t="s">
        <v>17</v>
      </c>
      <c r="W8" s="771">
        <f t="shared" si="2"/>
        <v>100</v>
      </c>
      <c r="X8" s="772"/>
      <c r="Y8" s="3139" t="s">
        <v>2552</v>
      </c>
      <c r="Z8" s="3140"/>
      <c r="AA8" s="773">
        <f t="shared" ref="AA8:AA47" si="3">D8/F8</f>
        <v>1</v>
      </c>
      <c r="AB8" s="773">
        <f t="shared" ref="AB8:AB47" si="4">D8/H8</f>
        <v>1</v>
      </c>
      <c r="AC8" s="2671">
        <f t="shared" ref="AC8:AC47" si="5">D8/J8</f>
        <v>1</v>
      </c>
    </row>
    <row r="9" spans="1:29" s="117" customFormat="1">
      <c r="A9" s="415" t="s">
        <v>2553</v>
      </c>
      <c r="B9" s="71" t="s">
        <v>2554</v>
      </c>
      <c r="C9" s="3282" t="s">
        <v>3095</v>
      </c>
      <c r="D9" s="135">
        <v>100</v>
      </c>
      <c r="E9" s="3282" t="s">
        <v>3095</v>
      </c>
      <c r="F9" s="135">
        <f>SUMIF(64:64,E9,65:65)-SUMIF(64:64,C9,65:65)+100</f>
        <v>100</v>
      </c>
      <c r="G9" s="3282" t="s">
        <v>3095</v>
      </c>
      <c r="H9" s="135">
        <f>SUMIF(64:64,G9,65:65)-SUMIF(64:64,C9,65:65)+100</f>
        <v>100</v>
      </c>
      <c r="I9" s="3282" t="s">
        <v>3095</v>
      </c>
      <c r="J9" s="135">
        <f>SUMIF(64:64,I9,65:65)-SUMIF(64:64,C9,65:65)+100</f>
        <v>100</v>
      </c>
      <c r="K9" s="611"/>
      <c r="L9" s="1134"/>
      <c r="M9" s="1135"/>
      <c r="N9" s="1135"/>
      <c r="O9" s="1135"/>
      <c r="P9" s="3153" t="s">
        <v>2555</v>
      </c>
      <c r="Q9" s="1798" t="str">
        <f t="shared" ref="Q9:Q15" si="6">B9</f>
        <v>用途</v>
      </c>
      <c r="R9" s="770" t="s">
        <v>17</v>
      </c>
      <c r="S9" s="771">
        <f t="shared" si="0"/>
        <v>100</v>
      </c>
      <c r="T9" s="770" t="s">
        <v>17</v>
      </c>
      <c r="U9" s="771">
        <f t="shared" si="1"/>
        <v>100</v>
      </c>
      <c r="V9" s="770" t="s">
        <v>17</v>
      </c>
      <c r="W9" s="771">
        <f t="shared" si="2"/>
        <v>100</v>
      </c>
      <c r="X9" s="772"/>
      <c r="Y9" s="3013" t="s">
        <v>2556</v>
      </c>
      <c r="Z9" s="55" t="str">
        <f t="shared" ref="Z9:Z15" si="7">Q9</f>
        <v>用途</v>
      </c>
      <c r="AA9" s="773">
        <f t="shared" si="3"/>
        <v>1</v>
      </c>
      <c r="AB9" s="773">
        <f t="shared" si="4"/>
        <v>1</v>
      </c>
      <c r="AC9" s="2671">
        <f t="shared" si="5"/>
        <v>1</v>
      </c>
    </row>
    <row r="10" spans="1:29" s="427" customFormat="1" ht="27">
      <c r="A10" s="421"/>
      <c r="B10" s="422" t="s">
        <v>2557</v>
      </c>
      <c r="C10" s="3283" t="s">
        <v>3096</v>
      </c>
      <c r="D10" s="136">
        <v>100</v>
      </c>
      <c r="E10" s="3283" t="s">
        <v>3096</v>
      </c>
      <c r="F10" s="136">
        <f>SUMIF(66:66,E10,67:67)-SUMIF(66:66,C10,67:67)+100</f>
        <v>100</v>
      </c>
      <c r="G10" s="3283" t="s">
        <v>3096</v>
      </c>
      <c r="H10" s="136">
        <f>SUMIF(66:66,G10,67:67)-SUMIF(66:66,C10,67:67)+100</f>
        <v>100</v>
      </c>
      <c r="I10" s="3283" t="s">
        <v>3096</v>
      </c>
      <c r="J10" s="136">
        <f>SUMIF(66:66,I10,67:67)-SUMIF(66:66,C10,67:67)+100</f>
        <v>100</v>
      </c>
      <c r="K10" s="612">
        <v>1</v>
      </c>
      <c r="L10" s="1137"/>
      <c r="M10" s="1138"/>
      <c r="N10" s="1138"/>
      <c r="O10" s="1138"/>
      <c r="P10" s="3153"/>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1">
        <f t="shared" si="5"/>
        <v>1</v>
      </c>
    </row>
    <row r="11" spans="1:29" ht="15.75" thickBot="1">
      <c r="A11" s="428"/>
      <c r="B11" s="422" t="s">
        <v>2558</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40"/>
      <c r="M11" s="1133"/>
      <c r="N11" s="1133"/>
      <c r="O11" s="1133"/>
      <c r="P11" s="3153"/>
      <c r="Q11" s="1798" t="str">
        <f t="shared" si="6"/>
        <v>容积率</v>
      </c>
      <c r="R11" s="770" t="s">
        <v>17</v>
      </c>
      <c r="S11" s="771">
        <f t="shared" si="0"/>
        <v>100</v>
      </c>
      <c r="T11" s="770" t="s">
        <v>17</v>
      </c>
      <c r="U11" s="771">
        <f t="shared" si="1"/>
        <v>100</v>
      </c>
      <c r="V11" s="770" t="s">
        <v>17</v>
      </c>
      <c r="W11" s="771">
        <f t="shared" si="2"/>
        <v>100</v>
      </c>
      <c r="X11" s="772"/>
      <c r="Y11" s="3013"/>
      <c r="Z11" s="55" t="str">
        <f t="shared" si="7"/>
        <v>容积率</v>
      </c>
      <c r="AA11" s="773">
        <f t="shared" si="3"/>
        <v>1</v>
      </c>
      <c r="AB11" s="773">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153"/>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153"/>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153"/>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1">
        <f t="shared" si="5"/>
        <v>1</v>
      </c>
    </row>
    <row r="15" spans="1:29" ht="71.25">
      <c r="A15" s="440" t="s">
        <v>2559</v>
      </c>
      <c r="B15" s="629" t="s">
        <v>2687</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2"/>
      <c r="M15" s="1133"/>
      <c r="N15" s="1133"/>
      <c r="O15" s="1133"/>
      <c r="P15" s="3180" t="s">
        <v>2560</v>
      </c>
      <c r="Q15" s="1813" t="str">
        <f t="shared" si="6"/>
        <v>办公集聚程度</v>
      </c>
      <c r="R15" s="774" t="s">
        <v>17</v>
      </c>
      <c r="S15" s="775">
        <f t="shared" si="0"/>
        <v>100</v>
      </c>
      <c r="T15" s="774" t="s">
        <v>17</v>
      </c>
      <c r="U15" s="775">
        <f t="shared" si="1"/>
        <v>100</v>
      </c>
      <c r="V15" s="774" t="s">
        <v>17</v>
      </c>
      <c r="W15" s="775">
        <f t="shared" si="2"/>
        <v>100</v>
      </c>
      <c r="X15" s="1816"/>
      <c r="Y15" s="3173" t="s">
        <v>2560</v>
      </c>
      <c r="Z15" s="1817" t="str">
        <f t="shared" si="7"/>
        <v>办公集聚程度</v>
      </c>
      <c r="AA15" s="1814">
        <f t="shared" si="3"/>
        <v>1</v>
      </c>
      <c r="AB15" s="1814">
        <f t="shared" si="4"/>
        <v>1</v>
      </c>
      <c r="AC15" s="2674">
        <f t="shared" si="5"/>
        <v>1</v>
      </c>
    </row>
    <row r="16" spans="1:29" ht="15">
      <c r="A16" s="428"/>
      <c r="B16" s="630"/>
      <c r="C16" s="2611" t="s">
        <v>3097</v>
      </c>
      <c r="D16" s="448"/>
      <c r="E16" s="2611" t="s">
        <v>3097</v>
      </c>
      <c r="F16" s="448"/>
      <c r="G16" s="2611" t="s">
        <v>3097</v>
      </c>
      <c r="H16" s="450"/>
      <c r="I16" s="2611" t="s">
        <v>3097</v>
      </c>
      <c r="J16" s="448"/>
      <c r="K16" s="615"/>
      <c r="L16" s="1142"/>
      <c r="M16" s="1133"/>
      <c r="N16" s="1133"/>
      <c r="O16" s="1133"/>
      <c r="P16" s="3181"/>
      <c r="Q16" s="1813"/>
      <c r="R16" s="774"/>
      <c r="S16" s="775"/>
      <c r="T16" s="774"/>
      <c r="U16" s="775"/>
      <c r="V16" s="774"/>
      <c r="W16" s="775"/>
      <c r="X16" s="1816"/>
      <c r="Y16" s="3174"/>
      <c r="Z16" s="1817"/>
      <c r="AA16" s="1814">
        <v>1</v>
      </c>
      <c r="AB16" s="1814">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2"/>
      <c r="M17" s="1133"/>
      <c r="N17" s="1133"/>
      <c r="O17" s="1133"/>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2674">
        <f t="shared" si="5"/>
        <v>1</v>
      </c>
    </row>
    <row r="18" spans="1:29" ht="15">
      <c r="A18" s="428"/>
      <c r="B18" s="632"/>
      <c r="C18" s="2676" t="s">
        <v>3098</v>
      </c>
      <c r="D18" s="450"/>
      <c r="E18" s="2676" t="s">
        <v>3098</v>
      </c>
      <c r="F18" s="450"/>
      <c r="G18" s="2676" t="s">
        <v>3098</v>
      </c>
      <c r="H18" s="448"/>
      <c r="I18" s="2676" t="s">
        <v>3098</v>
      </c>
      <c r="J18" s="448"/>
      <c r="K18" s="615"/>
      <c r="L18" s="1142"/>
      <c r="M18" s="1133"/>
      <c r="N18" s="1133"/>
      <c r="O18" s="1133"/>
      <c r="P18" s="3181"/>
      <c r="Q18" s="1813"/>
      <c r="R18" s="774"/>
      <c r="S18" s="775"/>
      <c r="T18" s="774"/>
      <c r="U18" s="775"/>
      <c r="V18" s="774"/>
      <c r="W18" s="775"/>
      <c r="X18" s="1816"/>
      <c r="Y18" s="3174"/>
      <c r="Z18" s="1817"/>
      <c r="AA18" s="1814">
        <v>1</v>
      </c>
      <c r="AB18" s="1814">
        <v>1</v>
      </c>
      <c r="AC18" s="2674">
        <v>1</v>
      </c>
    </row>
    <row r="19" spans="1:29" ht="42.75">
      <c r="A19" s="428"/>
      <c r="B19" s="631" t="s">
        <v>2688</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2"/>
      <c r="M19" s="1133"/>
      <c r="N19" s="1133"/>
      <c r="O19" s="1133"/>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2674">
        <f t="shared" si="5"/>
        <v>1</v>
      </c>
    </row>
    <row r="20" spans="1:29" ht="15">
      <c r="A20" s="428"/>
      <c r="B20" s="632"/>
      <c r="C20" s="2611" t="s">
        <v>3098</v>
      </c>
      <c r="D20" s="448"/>
      <c r="E20" s="2611" t="s">
        <v>3098</v>
      </c>
      <c r="F20" s="448"/>
      <c r="G20" s="2611" t="s">
        <v>3098</v>
      </c>
      <c r="H20" s="448"/>
      <c r="I20" s="2611" t="s">
        <v>3098</v>
      </c>
      <c r="J20" s="448"/>
      <c r="K20" s="615"/>
      <c r="L20" s="1142"/>
      <c r="M20" s="1133"/>
      <c r="N20" s="1133"/>
      <c r="O20" s="1133"/>
      <c r="P20" s="3181"/>
      <c r="Q20" s="1813"/>
      <c r="R20" s="774"/>
      <c r="S20" s="775"/>
      <c r="T20" s="774"/>
      <c r="U20" s="775"/>
      <c r="V20" s="774"/>
      <c r="W20" s="775"/>
      <c r="X20" s="1816"/>
      <c r="Y20" s="3174"/>
      <c r="Z20" s="1817"/>
      <c r="AA20" s="1814">
        <v>1</v>
      </c>
      <c r="AB20" s="1814">
        <v>1</v>
      </c>
      <c r="AC20" s="2674">
        <v>1</v>
      </c>
    </row>
    <row r="21" spans="1:29" ht="28.5">
      <c r="A21" s="428"/>
      <c r="B21" s="633" t="s">
        <v>2689</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2"/>
      <c r="M21" s="1133"/>
      <c r="N21" s="1133"/>
      <c r="O21" s="1133"/>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2674">
        <f t="shared" ref="AC21" si="10">D21/J21</f>
        <v>1</v>
      </c>
    </row>
    <row r="22" spans="1:29" ht="15">
      <c r="A22" s="428"/>
      <c r="B22" s="633"/>
      <c r="C22" s="2676" t="s">
        <v>3099</v>
      </c>
      <c r="D22" s="448"/>
      <c r="E22" s="2676" t="s">
        <v>3099</v>
      </c>
      <c r="F22" s="448"/>
      <c r="G22" s="2676" t="s">
        <v>3099</v>
      </c>
      <c r="H22" s="448"/>
      <c r="I22" s="2676" t="s">
        <v>3099</v>
      </c>
      <c r="J22" s="448"/>
      <c r="K22" s="1385"/>
      <c r="L22" s="1142"/>
      <c r="M22" s="1133"/>
      <c r="N22" s="1133"/>
      <c r="O22" s="1133"/>
      <c r="P22" s="3181"/>
      <c r="Q22" s="1813"/>
      <c r="R22" s="774"/>
      <c r="S22" s="775"/>
      <c r="T22" s="774"/>
      <c r="U22" s="775"/>
      <c r="V22" s="774"/>
      <c r="W22" s="775"/>
      <c r="X22" s="1816"/>
      <c r="Y22" s="3174"/>
      <c r="Z22" s="1817"/>
      <c r="AA22" s="1814">
        <v>1</v>
      </c>
      <c r="AB22" s="1814">
        <v>1</v>
      </c>
      <c r="AC22" s="2674">
        <v>1</v>
      </c>
    </row>
    <row r="23" spans="1:29" ht="42.75">
      <c r="A23" s="428"/>
      <c r="B23" s="631" t="s">
        <v>2690</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2"/>
      <c r="M23" s="1133"/>
      <c r="N23" s="1133"/>
      <c r="O23" s="1133"/>
      <c r="P23" s="3181"/>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2674">
        <f t="shared" si="5"/>
        <v>1</v>
      </c>
    </row>
    <row r="24" spans="1:29" ht="15">
      <c r="A24" s="428"/>
      <c r="B24" s="633"/>
      <c r="C24" s="2611" t="s">
        <v>3097</v>
      </c>
      <c r="D24" s="448"/>
      <c r="E24" s="2611" t="s">
        <v>3097</v>
      </c>
      <c r="F24" s="448"/>
      <c r="G24" s="2611" t="s">
        <v>3097</v>
      </c>
      <c r="H24" s="448"/>
      <c r="I24" s="2611" t="s">
        <v>3097</v>
      </c>
      <c r="J24" s="448"/>
      <c r="K24" s="615"/>
      <c r="L24" s="1142"/>
      <c r="M24" s="1133"/>
      <c r="N24" s="1133"/>
      <c r="O24" s="1133"/>
      <c r="P24" s="3181"/>
      <c r="Q24" s="1813"/>
      <c r="R24" s="774"/>
      <c r="S24" s="775"/>
      <c r="T24" s="774"/>
      <c r="U24" s="775"/>
      <c r="V24" s="774"/>
      <c r="W24" s="775"/>
      <c r="X24" s="1816"/>
      <c r="Y24" s="3174"/>
      <c r="Z24" s="1817"/>
      <c r="AA24" s="1814">
        <v>1</v>
      </c>
      <c r="AB24" s="1814">
        <v>1</v>
      </c>
      <c r="AC24" s="2674">
        <v>1</v>
      </c>
    </row>
    <row r="25" spans="1:29" ht="27">
      <c r="A25" s="404"/>
      <c r="B25" s="631" t="s">
        <v>2691</v>
      </c>
      <c r="C25" s="2615"/>
      <c r="D25" s="435">
        <v>100</v>
      </c>
      <c r="E25" s="434"/>
      <c r="F25" s="435">
        <f>SUMIF(87:87,E26,88:88)-SUMIF(87:87,C26,88:88)+100</f>
        <v>100</v>
      </c>
      <c r="G25" s="2615"/>
      <c r="H25" s="435">
        <f>SUMIF(87:87,G26,88:88)-SUMIF(87:87,C26,88:88)+100</f>
        <v>100</v>
      </c>
      <c r="I25" s="434"/>
      <c r="J25" s="435">
        <f>SUMIF(87:87,I26,88:88)-SUMIF(87:87,C26,88:88)+100</f>
        <v>100</v>
      </c>
      <c r="K25" s="614">
        <v>1.5</v>
      </c>
      <c r="L25" s="1142"/>
      <c r="M25" s="1133"/>
      <c r="N25" s="1133"/>
      <c r="O25" s="1133"/>
      <c r="P25" s="3181"/>
      <c r="Q25" s="1813" t="str">
        <f>B25</f>
        <v>毗邻道路的类型与等级</v>
      </c>
      <c r="R25" s="774" t="s">
        <v>17</v>
      </c>
      <c r="S25" s="775">
        <f>F25</f>
        <v>100</v>
      </c>
      <c r="T25" s="774" t="s">
        <v>17</v>
      </c>
      <c r="U25" s="775">
        <f>H25</f>
        <v>100</v>
      </c>
      <c r="V25" s="774" t="s">
        <v>17</v>
      </c>
      <c r="W25" s="775">
        <f>J25</f>
        <v>100</v>
      </c>
      <c r="X25" s="1816"/>
      <c r="Y25" s="3174"/>
      <c r="Z25" s="1817" t="str">
        <f>Q25</f>
        <v>毗邻道路的类型与等级</v>
      </c>
      <c r="AA25" s="1814">
        <f t="shared" si="3"/>
        <v>1</v>
      </c>
      <c r="AB25" s="1814">
        <f t="shared" si="4"/>
        <v>1</v>
      </c>
      <c r="AC25" s="2674">
        <f t="shared" si="5"/>
        <v>1</v>
      </c>
    </row>
    <row r="26" spans="1:29" ht="15">
      <c r="A26" s="404"/>
      <c r="B26" s="632"/>
      <c r="C26" s="634" t="s">
        <v>3101</v>
      </c>
      <c r="D26" s="435"/>
      <c r="E26" s="634" t="s">
        <v>3101</v>
      </c>
      <c r="F26" s="435"/>
      <c r="G26" s="634" t="s">
        <v>3101</v>
      </c>
      <c r="H26" s="435"/>
      <c r="I26" s="634" t="s">
        <v>3101</v>
      </c>
      <c r="J26" s="435"/>
      <c r="K26" s="615"/>
      <c r="L26" s="1142"/>
      <c r="M26" s="1133"/>
      <c r="N26" s="1133"/>
      <c r="O26" s="1133"/>
      <c r="P26" s="3181"/>
      <c r="Q26" s="1813"/>
      <c r="R26" s="774"/>
      <c r="S26" s="775"/>
      <c r="T26" s="774"/>
      <c r="U26" s="775"/>
      <c r="V26" s="774"/>
      <c r="W26" s="775"/>
      <c r="X26" s="1816"/>
      <c r="Y26" s="3174"/>
      <c r="Z26" s="1817"/>
      <c r="AA26" s="1814">
        <v>1</v>
      </c>
      <c r="AB26" s="1814">
        <v>1</v>
      </c>
      <c r="AC26" s="2674">
        <v>1</v>
      </c>
    </row>
    <row r="27" spans="1:29" ht="15">
      <c r="A27" s="428"/>
      <c r="B27" s="632" t="s">
        <v>2659</v>
      </c>
      <c r="C27" s="634" t="s">
        <v>3105</v>
      </c>
      <c r="D27" s="435">
        <v>100</v>
      </c>
      <c r="E27" s="634" t="s">
        <v>3105</v>
      </c>
      <c r="F27" s="435">
        <f>SUMIF(89:89,E27,90:90)-SUMIF(89:89,C27,90:90)+100</f>
        <v>100</v>
      </c>
      <c r="G27" s="634" t="s">
        <v>3107</v>
      </c>
      <c r="H27" s="435">
        <f>SUMIF(89:89,G27,90:90)-SUMIF(89:89,C27,90:90)+100</f>
        <v>96</v>
      </c>
      <c r="I27" s="634" t="s">
        <v>3107</v>
      </c>
      <c r="J27" s="435">
        <f>SUMIF(89:89,I27,90:90)-SUMIF(89:89,C27,90:90)+100</f>
        <v>96</v>
      </c>
      <c r="K27" s="612">
        <v>2</v>
      </c>
      <c r="L27" s="1142"/>
      <c r="M27" s="1133"/>
      <c r="N27" s="1133"/>
      <c r="O27" s="1133"/>
      <c r="P27" s="3181"/>
      <c r="Q27" s="1813" t="str">
        <f t="shared" ref="Q27:Q47" si="11">B27</f>
        <v>楼层</v>
      </c>
      <c r="R27" s="774" t="s">
        <v>17</v>
      </c>
      <c r="S27" s="775">
        <f>F27</f>
        <v>100</v>
      </c>
      <c r="T27" s="774" t="s">
        <v>17</v>
      </c>
      <c r="U27" s="775">
        <f>H27</f>
        <v>96</v>
      </c>
      <c r="V27" s="774" t="s">
        <v>17</v>
      </c>
      <c r="W27" s="775">
        <f>J27</f>
        <v>96</v>
      </c>
      <c r="X27" s="1816"/>
      <c r="Y27" s="3174"/>
      <c r="Z27" s="1817" t="str">
        <f>Q27</f>
        <v>楼层</v>
      </c>
      <c r="AA27" s="1814">
        <f t="shared" si="3"/>
        <v>1</v>
      </c>
      <c r="AB27" s="1814">
        <f t="shared" si="4"/>
        <v>1.0416666666666667</v>
      </c>
      <c r="AC27" s="2674">
        <f t="shared" si="5"/>
        <v>1.0416666666666667</v>
      </c>
    </row>
    <row r="28" spans="1:29" s="117" customFormat="1" ht="15.75" thickBot="1">
      <c r="A28" s="431"/>
      <c r="B28" s="631" t="s">
        <v>2692</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181"/>
      <c r="Q28" s="1798" t="str">
        <f t="shared" si="11"/>
        <v>朝向</v>
      </c>
      <c r="R28" s="770" t="s">
        <v>17</v>
      </c>
      <c r="S28" s="771">
        <f>F28</f>
        <v>100</v>
      </c>
      <c r="T28" s="770" t="s">
        <v>17</v>
      </c>
      <c r="U28" s="771">
        <f>H28</f>
        <v>100</v>
      </c>
      <c r="V28" s="770" t="s">
        <v>17</v>
      </c>
      <c r="W28" s="771">
        <f>J28</f>
        <v>100</v>
      </c>
      <c r="X28" s="772"/>
      <c r="Y28" s="3174"/>
      <c r="Z28" s="55" t="str">
        <f>Q28</f>
        <v>朝向</v>
      </c>
      <c r="AA28" s="1814">
        <f>D28/F28</f>
        <v>1</v>
      </c>
      <c r="AB28" s="1814">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181"/>
      <c r="Q29" s="1813">
        <f t="shared" si="11"/>
        <v>111</v>
      </c>
      <c r="R29" s="774" t="s">
        <v>17</v>
      </c>
      <c r="S29" s="775">
        <f t="shared" ref="S29:S47" si="12">F29</f>
        <v>100</v>
      </c>
      <c r="T29" s="774" t="s">
        <v>17</v>
      </c>
      <c r="U29" s="775">
        <f t="shared" ref="U29:U47" si="13">H29</f>
        <v>100</v>
      </c>
      <c r="V29" s="774" t="s">
        <v>17</v>
      </c>
      <c r="W29" s="775">
        <f t="shared" ref="W29:W47" si="14">J29</f>
        <v>100</v>
      </c>
      <c r="X29" s="1816"/>
      <c r="Y29" s="3174"/>
      <c r="Z29" s="1817">
        <f t="shared" ref="Z29:Z47" si="15">Q29</f>
        <v>111</v>
      </c>
      <c r="AA29" s="1814">
        <f t="shared" si="3"/>
        <v>1</v>
      </c>
      <c r="AB29" s="1814">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181"/>
      <c r="Q32" s="1813">
        <f t="shared" si="11"/>
        <v>111</v>
      </c>
      <c r="R32" s="774" t="s">
        <v>17</v>
      </c>
      <c r="S32" s="775">
        <f t="shared" si="12"/>
        <v>100</v>
      </c>
      <c r="T32" s="774" t="s">
        <v>17</v>
      </c>
      <c r="U32" s="775">
        <f t="shared" si="13"/>
        <v>100</v>
      </c>
      <c r="V32" s="774" t="s">
        <v>17</v>
      </c>
      <c r="W32" s="775">
        <f t="shared" si="14"/>
        <v>100</v>
      </c>
      <c r="X32" s="1816"/>
      <c r="Y32" s="3174"/>
      <c r="Z32" s="1817">
        <f t="shared" si="15"/>
        <v>111</v>
      </c>
      <c r="AA32" s="1814">
        <f t="shared" si="3"/>
        <v>1</v>
      </c>
      <c r="AB32" s="1814">
        <f t="shared" si="4"/>
        <v>1</v>
      </c>
      <c r="AC32" s="2674">
        <f t="shared" si="5"/>
        <v>1</v>
      </c>
    </row>
    <row r="33" spans="1:29" ht="15">
      <c r="A33" s="440" t="s">
        <v>2563</v>
      </c>
      <c r="B33" s="71" t="s">
        <v>2693</v>
      </c>
      <c r="C33" s="2679" t="s">
        <v>3108</v>
      </c>
      <c r="D33" s="467">
        <v>100</v>
      </c>
      <c r="E33" s="2679" t="s">
        <v>3108</v>
      </c>
      <c r="F33" s="461">
        <f>SUMIF(101:101,E33,102:102)-SUMIF(101:101,C33,102:102)+100</f>
        <v>100</v>
      </c>
      <c r="G33" s="2679" t="s">
        <v>3108</v>
      </c>
      <c r="H33" s="435">
        <f>SUMIF(101:101,G33,102:102)-SUMIF(101:101,C33,102:102)+100</f>
        <v>100</v>
      </c>
      <c r="I33" s="2679" t="s">
        <v>3108</v>
      </c>
      <c r="J33" s="467">
        <f>SUMIF(101:101,I33,102:102)-SUMIF(101:101,C33,102:102)+100</f>
        <v>100</v>
      </c>
      <c r="K33" s="612">
        <v>1.5</v>
      </c>
      <c r="L33" s="1142"/>
      <c r="M33" s="1133"/>
      <c r="N33" s="1133"/>
      <c r="O33" s="1133"/>
      <c r="P33" s="3175" t="s">
        <v>2565</v>
      </c>
      <c r="Q33" s="1813" t="str">
        <f t="shared" si="11"/>
        <v>建筑类型</v>
      </c>
      <c r="R33" s="774" t="s">
        <v>17</v>
      </c>
      <c r="S33" s="775">
        <f t="shared" si="12"/>
        <v>100</v>
      </c>
      <c r="T33" s="774" t="s">
        <v>17</v>
      </c>
      <c r="U33" s="775">
        <f t="shared" si="13"/>
        <v>100</v>
      </c>
      <c r="V33" s="774" t="s">
        <v>17</v>
      </c>
      <c r="W33" s="775">
        <f t="shared" si="14"/>
        <v>100</v>
      </c>
      <c r="X33" s="1816"/>
      <c r="Y33" s="3178" t="s">
        <v>2565</v>
      </c>
      <c r="Z33" s="1817" t="str">
        <f t="shared" si="15"/>
        <v>建筑类型</v>
      </c>
      <c r="AA33" s="1814">
        <f t="shared" si="3"/>
        <v>1</v>
      </c>
      <c r="AB33" s="1814">
        <f t="shared" si="4"/>
        <v>1</v>
      </c>
      <c r="AC33" s="2674">
        <f t="shared" si="5"/>
        <v>1</v>
      </c>
    </row>
    <row r="34" spans="1:29" s="471" customFormat="1" ht="15">
      <c r="A34" s="468"/>
      <c r="B34" s="422" t="s">
        <v>2566</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40"/>
      <c r="M34" s="1143"/>
      <c r="N34" s="1143"/>
      <c r="O34" s="1143"/>
      <c r="P34" s="3176"/>
      <c r="Q34" s="776" t="str">
        <f t="shared" si="11"/>
        <v>项目建筑规模</v>
      </c>
      <c r="R34" s="777" t="s">
        <v>17</v>
      </c>
      <c r="S34" s="778">
        <f t="shared" si="12"/>
        <v>100</v>
      </c>
      <c r="T34" s="777" t="s">
        <v>17</v>
      </c>
      <c r="U34" s="778">
        <f t="shared" si="13"/>
        <v>100</v>
      </c>
      <c r="V34" s="777" t="s">
        <v>17</v>
      </c>
      <c r="W34" s="778">
        <f t="shared" si="14"/>
        <v>100</v>
      </c>
      <c r="X34" s="779"/>
      <c r="Y34" s="3178"/>
      <c r="Z34" s="780" t="str">
        <f t="shared" si="15"/>
        <v>项目建筑规模</v>
      </c>
      <c r="AA34" s="1814">
        <f t="shared" si="3"/>
        <v>1</v>
      </c>
      <c r="AB34" s="1814">
        <f t="shared" si="4"/>
        <v>1</v>
      </c>
      <c r="AC34" s="2674">
        <f t="shared" si="5"/>
        <v>1</v>
      </c>
    </row>
    <row r="35" spans="1:29" ht="15">
      <c r="A35" s="472"/>
      <c r="B35" s="422" t="s">
        <v>2567</v>
      </c>
      <c r="C35" s="460" t="s">
        <v>3109</v>
      </c>
      <c r="D35" s="435">
        <v>100</v>
      </c>
      <c r="E35" s="460" t="s">
        <v>3109</v>
      </c>
      <c r="F35" s="461">
        <f>SUMIF(106:106,E35,107:107)-SUMIF(106:106,C35,107:107)+100</f>
        <v>100</v>
      </c>
      <c r="G35" s="460" t="s">
        <v>3109</v>
      </c>
      <c r="H35" s="435">
        <f>SUMIF(106:106,G35,107:107)-SUMIF(106:106,C35,107:107)+100</f>
        <v>100</v>
      </c>
      <c r="I35" s="460" t="s">
        <v>3109</v>
      </c>
      <c r="J35" s="435">
        <f>SUMIF(106:106,I35,107:107)-SUMIF(106:106,C35,107:107)+100</f>
        <v>100</v>
      </c>
      <c r="K35" s="612">
        <v>2</v>
      </c>
      <c r="L35" s="1142"/>
      <c r="M35" s="1133"/>
      <c r="N35" s="1133"/>
      <c r="O35" s="1133"/>
      <c r="P35" s="3176"/>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74">
        <f t="shared" si="5"/>
        <v>1</v>
      </c>
    </row>
    <row r="36" spans="1:29" ht="15">
      <c r="A36" s="472"/>
      <c r="B36" s="422" t="s">
        <v>2661</v>
      </c>
      <c r="C36" s="460" t="s">
        <v>3110</v>
      </c>
      <c r="D36" s="435">
        <v>100</v>
      </c>
      <c r="E36" s="460" t="s">
        <v>3110</v>
      </c>
      <c r="F36" s="461">
        <f>SUMIF(108:108,E36,109:109)-SUMIF(108:108,C36,109:109)+100</f>
        <v>100</v>
      </c>
      <c r="G36" s="460" t="s">
        <v>3110</v>
      </c>
      <c r="H36" s="435">
        <f>SUMIF(108:108,G36,109:109)-SUMIF(108:108,C36,109:109)+100</f>
        <v>100</v>
      </c>
      <c r="I36" s="460" t="s">
        <v>3110</v>
      </c>
      <c r="J36" s="435">
        <f>SUMIF(108:108,I36,109:109)-SUMIF(108:108,C36,109:109)+100</f>
        <v>100</v>
      </c>
      <c r="K36" s="612">
        <v>1</v>
      </c>
      <c r="L36" s="1142"/>
      <c r="M36" s="1133"/>
      <c r="N36" s="1133"/>
      <c r="O36" s="1133"/>
      <c r="P36" s="3176"/>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74">
        <f t="shared" si="5"/>
        <v>1</v>
      </c>
    </row>
    <row r="37" spans="1:29" ht="15">
      <c r="A37" s="472"/>
      <c r="B37" s="422" t="s">
        <v>2662</v>
      </c>
      <c r="C37" s="474">
        <f>'数据-取费表'!N6</f>
        <v>0.78</v>
      </c>
      <c r="D37" s="435">
        <v>100</v>
      </c>
      <c r="E37" s="474">
        <f>C37</f>
        <v>0.78</v>
      </c>
      <c r="F37" s="461">
        <f>LOOKUP(E37,111:111,112:112)-LOOKUP(C37,111:111,112:112)+100</f>
        <v>100</v>
      </c>
      <c r="G37" s="474">
        <f>C37</f>
        <v>0.78</v>
      </c>
      <c r="H37" s="461">
        <f>LOOKUP(G37,111:111,112:112)-LOOKUP(C37,111:111,112:112)+100</f>
        <v>100</v>
      </c>
      <c r="I37" s="474">
        <f>C37</f>
        <v>0.78</v>
      </c>
      <c r="J37" s="435">
        <f>LOOKUP(I37,111:111,112:112)-LOOKUP(C37,111:111,112:112)+100</f>
        <v>100</v>
      </c>
      <c r="K37" s="612">
        <v>2</v>
      </c>
      <c r="L37" s="1142"/>
      <c r="M37" s="1133"/>
      <c r="N37" s="1133"/>
      <c r="O37" s="1133"/>
      <c r="P37" s="3176"/>
      <c r="Q37" s="1813" t="str">
        <f t="shared" si="11"/>
        <v>成新度</v>
      </c>
      <c r="R37" s="774" t="s">
        <v>17</v>
      </c>
      <c r="S37" s="775">
        <f t="shared" si="12"/>
        <v>100</v>
      </c>
      <c r="T37" s="774" t="s">
        <v>17</v>
      </c>
      <c r="U37" s="775">
        <f t="shared" si="13"/>
        <v>100</v>
      </c>
      <c r="V37" s="774" t="s">
        <v>17</v>
      </c>
      <c r="W37" s="775">
        <f t="shared" si="14"/>
        <v>100</v>
      </c>
      <c r="X37" s="1816"/>
      <c r="Y37" s="3178"/>
      <c r="Z37" s="1817" t="str">
        <f t="shared" si="15"/>
        <v>成新度</v>
      </c>
      <c r="AA37" s="1814">
        <f t="shared" si="3"/>
        <v>1</v>
      </c>
      <c r="AB37" s="1814">
        <f t="shared" si="4"/>
        <v>1</v>
      </c>
      <c r="AC37" s="2674">
        <f t="shared" si="5"/>
        <v>1</v>
      </c>
    </row>
    <row r="38" spans="1:29" s="117" customFormat="1" ht="15">
      <c r="A38" s="473"/>
      <c r="B38" s="422" t="s">
        <v>2694</v>
      </c>
      <c r="C38" s="460" t="s">
        <v>3111</v>
      </c>
      <c r="D38" s="136">
        <v>100</v>
      </c>
      <c r="E38" s="460" t="s">
        <v>3111</v>
      </c>
      <c r="F38" s="461">
        <f>SUMIF(113:113,E38,114:114)-SUMIF(113:113,C38,114:114)+100</f>
        <v>100</v>
      </c>
      <c r="G38" s="460" t="s">
        <v>3111</v>
      </c>
      <c r="H38" s="435">
        <f>SUMIF(113:113,G38,114:114)-SUMIF(113:113,C38,114:114)+100</f>
        <v>100</v>
      </c>
      <c r="I38" s="460" t="s">
        <v>3111</v>
      </c>
      <c r="J38" s="435">
        <f>SUMIF(113:113,I38,114:114)-SUMIF(113:113,C38,114:114)+100</f>
        <v>100</v>
      </c>
      <c r="K38" s="612">
        <v>4</v>
      </c>
      <c r="L38" s="1134"/>
      <c r="M38" s="1135"/>
      <c r="N38" s="1135"/>
      <c r="O38" s="1135"/>
      <c r="P38" s="3176"/>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1">
        <f t="shared" si="5"/>
        <v>1</v>
      </c>
    </row>
    <row r="39" spans="1:29" ht="15">
      <c r="A39" s="472"/>
      <c r="B39" s="422" t="s">
        <v>2695</v>
      </c>
      <c r="C39" s="460" t="s">
        <v>3112</v>
      </c>
      <c r="D39" s="435">
        <v>100</v>
      </c>
      <c r="E39" s="460" t="s">
        <v>3112</v>
      </c>
      <c r="F39" s="461">
        <f>SUMIF(115:115,E39,116:116)-SUMIF(115:115,C39,116:116)+100</f>
        <v>100</v>
      </c>
      <c r="G39" s="460" t="s">
        <v>3112</v>
      </c>
      <c r="H39" s="435">
        <f>SUMIF(115:115,G39,116:116)-SUMIF(115:115,C39,116:116)+100</f>
        <v>100</v>
      </c>
      <c r="I39" s="460" t="s">
        <v>3112</v>
      </c>
      <c r="J39" s="435">
        <f>SUMIF(115:115,I39,116:116)-SUMIF(115:115,C39,116:116)+100</f>
        <v>100</v>
      </c>
      <c r="K39" s="612">
        <v>3</v>
      </c>
      <c r="L39" s="1142"/>
      <c r="M39" s="1133"/>
      <c r="N39" s="1133"/>
      <c r="O39" s="1133"/>
      <c r="P39" s="3176" t="s">
        <v>2565</v>
      </c>
      <c r="Q39" s="1813" t="str">
        <f t="shared" si="11"/>
        <v>物业管理</v>
      </c>
      <c r="R39" s="774" t="s">
        <v>17</v>
      </c>
      <c r="S39" s="775">
        <f t="shared" si="12"/>
        <v>100</v>
      </c>
      <c r="T39" s="774" t="s">
        <v>17</v>
      </c>
      <c r="U39" s="775">
        <f t="shared" si="13"/>
        <v>100</v>
      </c>
      <c r="V39" s="774" t="s">
        <v>17</v>
      </c>
      <c r="W39" s="775">
        <f t="shared" si="14"/>
        <v>100</v>
      </c>
      <c r="X39" s="1816"/>
      <c r="Y39" s="3178" t="s">
        <v>2565</v>
      </c>
      <c r="Z39" s="1817" t="str">
        <f t="shared" si="15"/>
        <v>物业管理</v>
      </c>
      <c r="AA39" s="1814">
        <f t="shared" si="3"/>
        <v>1</v>
      </c>
      <c r="AB39" s="1814">
        <f t="shared" si="4"/>
        <v>1</v>
      </c>
      <c r="AC39" s="2674">
        <f t="shared" si="5"/>
        <v>1</v>
      </c>
    </row>
    <row r="40" spans="1:29" ht="15">
      <c r="A40" s="472"/>
      <c r="B40" s="422" t="s">
        <v>2663</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1</v>
      </c>
      <c r="L40" s="1142"/>
      <c r="M40" s="1133"/>
      <c r="N40" s="1133"/>
      <c r="O40" s="1133"/>
      <c r="P40" s="3176"/>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74">
        <f t="shared" si="5"/>
        <v>1</v>
      </c>
    </row>
    <row r="41" spans="1:29" ht="15">
      <c r="A41" s="472"/>
      <c r="B41" s="422" t="s">
        <v>2665</v>
      </c>
      <c r="C41" s="616" t="s">
        <v>3113</v>
      </c>
      <c r="D41" s="435">
        <v>100</v>
      </c>
      <c r="E41" s="616" t="s">
        <v>3113</v>
      </c>
      <c r="F41" s="461">
        <f>SUMIF(119:119,E41,120:120)-SUMIF(119:119,C41,120:120)+100</f>
        <v>100</v>
      </c>
      <c r="G41" s="616" t="s">
        <v>3113</v>
      </c>
      <c r="H41" s="435">
        <f>SUMIF(119:119,G41,120:120)-SUMIF(119:119,C41,120:120)+100</f>
        <v>100</v>
      </c>
      <c r="I41" s="616" t="s">
        <v>3113</v>
      </c>
      <c r="J41" s="435">
        <f>SUMIF(119:119,I41,120:120)-SUMIF(119:119,C41,120:120)+100</f>
        <v>100</v>
      </c>
      <c r="K41" s="612">
        <v>1.5</v>
      </c>
      <c r="L41" s="1142"/>
      <c r="M41" s="1133"/>
      <c r="N41" s="1133"/>
      <c r="O41" s="1133"/>
      <c r="P41" s="3176"/>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74">
        <f t="shared" si="5"/>
        <v>1</v>
      </c>
    </row>
    <row r="42" spans="1:29" s="471" customFormat="1" ht="15">
      <c r="A42" s="468"/>
      <c r="B42" s="1815" t="s">
        <v>2696</v>
      </c>
      <c r="C42" s="434" t="s">
        <v>3114</v>
      </c>
      <c r="D42" s="435">
        <v>100</v>
      </c>
      <c r="E42" s="434" t="s">
        <v>3114</v>
      </c>
      <c r="F42" s="461">
        <f>SUMIF(121:121,E42,122:122)-SUMIF(121:121,C42,122:122)+100</f>
        <v>100</v>
      </c>
      <c r="G42" s="434" t="s">
        <v>3114</v>
      </c>
      <c r="H42" s="435">
        <f>SUMIF(121:121,G42,122:122)-SUMIF(121:121,C42,122:122)+100</f>
        <v>100</v>
      </c>
      <c r="I42" s="434" t="s">
        <v>3114</v>
      </c>
      <c r="J42" s="435">
        <f>SUMIF(121:121,I42,122:122)-SUMIF(121:121,C42,122:122)+100</f>
        <v>100</v>
      </c>
      <c r="K42" s="613"/>
      <c r="L42" s="1140"/>
      <c r="M42" s="1143"/>
      <c r="N42" s="1143"/>
      <c r="O42" s="1143"/>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74">
        <f t="shared" si="5"/>
        <v>1</v>
      </c>
    </row>
    <row r="43" spans="1:29" ht="15">
      <c r="A43" s="472"/>
      <c r="B43" s="422" t="s">
        <v>2668</v>
      </c>
      <c r="C43" s="460" t="s">
        <v>3110</v>
      </c>
      <c r="D43" s="435">
        <v>100</v>
      </c>
      <c r="E43" s="460" t="s">
        <v>3110</v>
      </c>
      <c r="F43" s="461">
        <f>SUMIF(123:123,E43,124:124)-SUMIF(123:123,C43,124:124)+100</f>
        <v>100</v>
      </c>
      <c r="G43" s="460" t="s">
        <v>3110</v>
      </c>
      <c r="H43" s="435">
        <f>SUMIF(123:123,G43,124:124)-SUMIF(123:123,C43,124:124)+100</f>
        <v>100</v>
      </c>
      <c r="I43" s="460" t="s">
        <v>3110</v>
      </c>
      <c r="J43" s="435">
        <f>SUMIF(123:123,I43,124:124)-SUMIF(123:123,C43,124:124)+100</f>
        <v>100</v>
      </c>
      <c r="K43" s="612">
        <v>3</v>
      </c>
      <c r="L43" s="1142"/>
      <c r="M43" s="1133"/>
      <c r="N43" s="1133"/>
      <c r="O43" s="1133"/>
      <c r="P43" s="3176"/>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74">
        <f t="shared" si="5"/>
        <v>1</v>
      </c>
    </row>
    <row r="44" spans="1:29" ht="15.75" thickBot="1">
      <c r="A44" s="472"/>
      <c r="B44" s="422" t="s">
        <v>2576</v>
      </c>
      <c r="C44" s="460" t="s">
        <v>3097</v>
      </c>
      <c r="D44" s="435">
        <v>100</v>
      </c>
      <c r="E44" s="460" t="s">
        <v>3097</v>
      </c>
      <c r="F44" s="461">
        <f>SUMIF(125:125,E44,126:126)-SUMIF(125:125,C44,126:126)+100</f>
        <v>100</v>
      </c>
      <c r="G44" s="460" t="s">
        <v>3097</v>
      </c>
      <c r="H44" s="435">
        <f>SUMIF(125:125,G44,126:126)-SUMIF(125:125,C44,126:126)+100</f>
        <v>100</v>
      </c>
      <c r="I44" s="460" t="s">
        <v>3097</v>
      </c>
      <c r="J44" s="435">
        <f>SUMIF(125:125,I44,126:126)-SUMIF(125:125,C44,126:126)+100</f>
        <v>100</v>
      </c>
      <c r="K44" s="612">
        <v>2</v>
      </c>
      <c r="L44" s="1142"/>
      <c r="M44" s="1133"/>
      <c r="N44" s="1133"/>
      <c r="O44" s="1133"/>
      <c r="P44" s="3176"/>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74">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76"/>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1">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76"/>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77"/>
      <c r="Q47" s="1813">
        <f t="shared" si="11"/>
        <v>111</v>
      </c>
      <c r="R47" s="774" t="s">
        <v>17</v>
      </c>
      <c r="S47" s="775">
        <f t="shared" si="12"/>
        <v>100</v>
      </c>
      <c r="T47" s="774" t="s">
        <v>17</v>
      </c>
      <c r="U47" s="775">
        <f t="shared" si="13"/>
        <v>100</v>
      </c>
      <c r="V47" s="774" t="s">
        <v>17</v>
      </c>
      <c r="W47" s="775">
        <f t="shared" si="14"/>
        <v>100</v>
      </c>
      <c r="X47" s="1816"/>
      <c r="Y47" s="3179"/>
      <c r="Z47" s="1817">
        <f t="shared" si="15"/>
        <v>111</v>
      </c>
      <c r="AA47" s="1814">
        <f t="shared" si="3"/>
        <v>1</v>
      </c>
      <c r="AB47" s="1814">
        <f t="shared" si="4"/>
        <v>1</v>
      </c>
      <c r="AC47" s="2674">
        <f t="shared" si="5"/>
        <v>1</v>
      </c>
    </row>
    <row r="48" spans="1:29" ht="15">
      <c r="A48" s="479" t="s">
        <v>2577</v>
      </c>
      <c r="B48" s="480"/>
      <c r="C48" s="1409" t="s">
        <v>1</v>
      </c>
      <c r="D48" s="1410"/>
      <c r="E48" s="1411">
        <f>ROUND(52000*0.96,0)</f>
        <v>49920</v>
      </c>
      <c r="F48" s="1412"/>
      <c r="G48" s="1413">
        <f>ROUND(45500,0)</f>
        <v>45500</v>
      </c>
      <c r="H48" s="1414"/>
      <c r="I48" s="1411">
        <f>ROUND(45000,0)</f>
        <v>45000</v>
      </c>
      <c r="J48" s="485"/>
      <c r="K48" s="783"/>
      <c r="L48" s="1145"/>
      <c r="M48" s="1133"/>
      <c r="N48" s="1133"/>
      <c r="O48" s="1133"/>
      <c r="P48" s="3153" t="str">
        <f>A48</f>
        <v>成交单价（元/平方米）</v>
      </c>
      <c r="Q48" s="3171"/>
      <c r="R48" s="3172">
        <f>E48</f>
        <v>49920</v>
      </c>
      <c r="S48" s="3172"/>
      <c r="T48" s="3172">
        <f>G48</f>
        <v>45500</v>
      </c>
      <c r="U48" s="3172"/>
      <c r="V48" s="3172">
        <f>I48</f>
        <v>45000</v>
      </c>
      <c r="W48" s="3172"/>
      <c r="X48" s="446"/>
      <c r="Y48" s="781"/>
      <c r="Z48" s="446"/>
      <c r="AA48" s="446"/>
      <c r="AB48" s="446"/>
      <c r="AC48" s="630"/>
    </row>
    <row r="49" spans="1:29" ht="15.75" thickBot="1">
      <c r="A49" s="486" t="s">
        <v>2669</v>
      </c>
      <c r="B49" s="487"/>
      <c r="C49" s="1415">
        <f>R50</f>
        <v>48064</v>
      </c>
      <c r="D49" s="1416"/>
      <c r="E49" s="1417">
        <f>R49</f>
        <v>49920</v>
      </c>
      <c r="F49" s="1417"/>
      <c r="G49" s="1415">
        <f>T49</f>
        <v>47396</v>
      </c>
      <c r="H49" s="1416"/>
      <c r="I49" s="1417">
        <f>V49</f>
        <v>46875</v>
      </c>
      <c r="J49" s="489"/>
      <c r="K49" s="784"/>
      <c r="L49" s="1145"/>
      <c r="M49" s="1133"/>
      <c r="N49" s="1133"/>
      <c r="O49" s="1133"/>
      <c r="P49" s="3153" t="str">
        <f>A49</f>
        <v>比较价值（元/平方米）</v>
      </c>
      <c r="Q49" s="3171"/>
      <c r="R49" s="3172">
        <f>IF(F1="售价",ROUND(PRODUCT(R48,AA7:AA47),0),ROUND(PRODUCT(R48,AA7:AA47),1))</f>
        <v>49920</v>
      </c>
      <c r="S49" s="3172"/>
      <c r="T49" s="3172">
        <f>IF(F1="售价",ROUND(PRODUCT(T48,AB7:AB47),0),ROUND(PRODUCT(T48,AB7:AB47),1))</f>
        <v>47396</v>
      </c>
      <c r="U49" s="3172"/>
      <c r="V49" s="3172">
        <f>IF(F1="售价",ROUND(PRODUCT(V48,AC7:AC47),0),ROUND(PRODUCT(V48,AC7:AC47),1))</f>
        <v>46875</v>
      </c>
      <c r="W49" s="3172"/>
      <c r="X49" s="446"/>
      <c r="Y49" s="446"/>
      <c r="Z49" s="446"/>
      <c r="AA49" s="446"/>
      <c r="AB49" s="446"/>
      <c r="AC49" s="630"/>
    </row>
    <row r="50" spans="1:29" ht="15.75" thickBot="1">
      <c r="A50" s="492" t="s">
        <v>2670</v>
      </c>
      <c r="B50" s="493"/>
      <c r="C50" s="1419">
        <f>R50</f>
        <v>48064</v>
      </c>
      <c r="D50" s="1419"/>
      <c r="E50" s="1419"/>
      <c r="F50" s="1419"/>
      <c r="G50" s="1419"/>
      <c r="H50" s="1419"/>
      <c r="I50" s="1419"/>
      <c r="J50" s="494"/>
      <c r="K50" s="785"/>
      <c r="L50" s="1145"/>
      <c r="M50" s="1133"/>
      <c r="N50" s="1133"/>
      <c r="O50" s="1133"/>
      <c r="P50" s="3221" t="str">
        <f>A50</f>
        <v>估价对象XX用房的比较价值（楼面单价，元/平方米）</v>
      </c>
      <c r="Q50" s="3222"/>
      <c r="R50" s="3223">
        <f>IF(F1="售价",ROUND(AVERAGE(R49:V49),0),ROUND(AVERAGE(R49:V49),1))</f>
        <v>48064</v>
      </c>
      <c r="S50" s="3223"/>
      <c r="T50" s="3223"/>
      <c r="U50" s="3223"/>
      <c r="V50" s="3223"/>
      <c r="W50" s="3223"/>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2671</v>
      </c>
      <c r="D53" s="498"/>
      <c r="E53" s="499">
        <f>IF(E48&lt;E49,E49/E48-1,E48/E49-1)</f>
        <v>0</v>
      </c>
      <c r="F53" s="500" t="str">
        <f>IF(OR(E53&gt;=0.3,E53&lt;=-0.3),"超过30%","")</f>
        <v/>
      </c>
      <c r="G53" s="499">
        <f>IF(G48&lt;G49,G49/G48-1,G48/G49-1)</f>
        <v>4.1670329670329576E-2</v>
      </c>
      <c r="H53" s="500" t="str">
        <f>IF(OR(G53&gt;=0.3,G53&lt;=-0.3),"超过30%","")</f>
        <v/>
      </c>
      <c r="I53" s="499">
        <f>IF(I48&lt;I49,I49/I48-1,I48/I49-1)</f>
        <v>4.1666666666666741E-2</v>
      </c>
      <c r="J53" s="500" t="str">
        <f>IF(OR(I53&gt;=0.3,I53&lt;=-0.3),"超过30%","")</f>
        <v/>
      </c>
      <c r="K53" s="1107"/>
      <c r="L53" s="1108"/>
      <c r="M53" s="1146"/>
      <c r="N53" s="1146"/>
      <c r="O53" s="1146"/>
    </row>
    <row r="54" spans="1:29" ht="13.5" customHeight="1">
      <c r="A54" s="1146"/>
      <c r="B54" s="1146"/>
      <c r="C54" s="497" t="s">
        <v>2672</v>
      </c>
      <c r="D54" s="501"/>
      <c r="E54" s="499">
        <f>IF(E49&lt;G49,G49/E49-1,E49/G49-1)</f>
        <v>5.325343910878555E-2</v>
      </c>
      <c r="F54" s="500" t="str">
        <f>IF(OR(E54&gt;=0.2,E54&lt;=-0.2),"超过20%","")</f>
        <v/>
      </c>
      <c r="G54" s="499">
        <f>IF(G49&lt;I49,I49/G49-1,G49/I49-1)</f>
        <v>1.1114666666666606E-2</v>
      </c>
      <c r="H54" s="500" t="str">
        <f>IF(OR(G54&gt;=0.2,G54&lt;=-0.2),"超过20%","")</f>
        <v/>
      </c>
      <c r="I54" s="499">
        <f>IF(I49&lt;E49,E49/I49-1,I49/E49-1)</f>
        <v>6.4959999999999907E-2</v>
      </c>
      <c r="J54" s="500" t="str">
        <f>IF(OR(I54&gt;=0.2,I54&lt;=-0.2),"超过20%","")</f>
        <v/>
      </c>
      <c r="K54" s="1107"/>
      <c r="L54" s="1108"/>
      <c r="M54" s="1146"/>
      <c r="N54" s="1146"/>
      <c r="O54" s="1146"/>
    </row>
    <row r="55" spans="1:29" s="502" customFormat="1" ht="13.5" customHeight="1">
      <c r="A55" s="1147"/>
      <c r="B55" s="1147"/>
      <c r="C55" s="497" t="s">
        <v>2673</v>
      </c>
      <c r="D55" s="501"/>
      <c r="E55" s="499">
        <f>IF(E48&lt;G48,G48/E48-1,E48/G48-1)</f>
        <v>9.7142857142857197E-2</v>
      </c>
      <c r="F55" s="500" t="str">
        <f>IF(OR(E55&gt;=0.3,E55&lt;=-0.3),"超过30%","")</f>
        <v/>
      </c>
      <c r="G55" s="499">
        <f>IF(G48&lt;I48,I48/G48-1,G48/I48-1)</f>
        <v>1.1111111111111072E-2</v>
      </c>
      <c r="H55" s="500" t="str">
        <f>IF(OR(G55&gt;=0.3,G55&lt;=-0.3),"超过30%","")</f>
        <v/>
      </c>
      <c r="I55" s="499">
        <f>IF(I48&lt;E48,E48/I48-1,I48/E48-1)</f>
        <v>0.10933333333333328</v>
      </c>
      <c r="J55" s="500" t="str">
        <f>IF(OR(I55&gt;=0.3,I55&lt;=-0.3),"超过30%","")</f>
        <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3" t="s">
        <v>2674</v>
      </c>
      <c r="B58" s="759"/>
      <c r="C58" s="764"/>
      <c r="D58" s="764"/>
      <c r="E58" s="764"/>
      <c r="F58" s="765"/>
      <c r="G58" s="765"/>
      <c r="H58" s="764"/>
      <c r="I58" s="764"/>
      <c r="J58" s="764"/>
      <c r="K58" s="766"/>
      <c r="L58" s="1163"/>
      <c r="M58" s="1161"/>
      <c r="N58" s="1161"/>
      <c r="O58" s="1161"/>
      <c r="P58" s="2681"/>
      <c r="Q58" s="504"/>
    </row>
    <row r="59" spans="1:29" s="508" customFormat="1" ht="15">
      <c r="A59" s="505" t="s">
        <v>2548</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2588</v>
      </c>
      <c r="B64" s="528" t="s">
        <v>2554</v>
      </c>
      <c r="C64" s="529" t="str">
        <f>C9</f>
        <v>办公</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4"/>
      <c r="O66" s="1154"/>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5"/>
      <c r="O67" s="1155"/>
      <c r="P67" s="2684"/>
      <c r="Q67" s="504"/>
    </row>
    <row r="68" spans="1:17" ht="15.75" thickTop="1">
      <c r="A68" s="534"/>
      <c r="B68" s="546" t="s">
        <v>2558</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v>0</v>
      </c>
      <c r="D69" s="549">
        <v>1</v>
      </c>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4"/>
      <c r="O77" s="1154"/>
      <c r="P77" s="2688"/>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5"/>
      <c r="O78" s="1155"/>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4"/>
      <c r="O79" s="1154"/>
      <c r="P79" s="2684"/>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5"/>
      <c r="O80" s="1155"/>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4"/>
      <c r="O81" s="1154"/>
      <c r="P81" s="2684"/>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5"/>
      <c r="O82" s="1155"/>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4"/>
      <c r="N83" s="1155"/>
      <c r="O83" s="1155"/>
      <c r="P83" s="2684"/>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5"/>
      <c r="O84" s="1155"/>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4"/>
      <c r="O85" s="1154"/>
      <c r="P85" s="2684"/>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5"/>
      <c r="O86" s="1155"/>
      <c r="P86" s="2684"/>
      <c r="Q86" s="504"/>
    </row>
    <row r="87" spans="1:17" s="117" customFormat="1" ht="27.75" thickTop="1">
      <c r="A87" s="579"/>
      <c r="B87" s="538" t="s">
        <v>2699</v>
      </c>
      <c r="C87" s="554" t="s">
        <v>3100</v>
      </c>
      <c r="D87" s="554" t="s">
        <v>3101</v>
      </c>
      <c r="E87" s="554" t="s">
        <v>3102</v>
      </c>
      <c r="F87" s="554" t="s">
        <v>3103</v>
      </c>
      <c r="G87" s="554" t="s">
        <v>3104</v>
      </c>
      <c r="H87" s="554"/>
      <c r="I87" s="554"/>
      <c r="J87" s="554"/>
      <c r="K87" s="554"/>
      <c r="L87" s="580"/>
      <c r="M87" s="581"/>
      <c r="N87" s="1153"/>
      <c r="O87" s="1153"/>
      <c r="P87" s="2684"/>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5"/>
      <c r="O88" s="1155"/>
      <c r="P88" s="2684"/>
      <c r="Q88" s="504"/>
    </row>
    <row r="89" spans="1:17" s="117" customFormat="1" ht="15.75" thickTop="1">
      <c r="A89" s="579"/>
      <c r="B89" s="538" t="str">
        <f>B27</f>
        <v>楼层</v>
      </c>
      <c r="C89" s="554" t="s">
        <v>3105</v>
      </c>
      <c r="D89" s="554" t="s">
        <v>3106</v>
      </c>
      <c r="E89" s="554" t="s">
        <v>3107</v>
      </c>
      <c r="F89" s="2635"/>
      <c r="G89" s="554"/>
      <c r="H89" s="554"/>
      <c r="I89" s="554"/>
      <c r="J89" s="554"/>
      <c r="K89" s="554"/>
      <c r="L89" s="554"/>
      <c r="M89" s="581"/>
      <c r="N89" s="1153"/>
      <c r="O89" s="1153"/>
      <c r="P89" s="2684"/>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2563</v>
      </c>
      <c r="B101" s="528" t="s">
        <v>2612</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5"/>
      <c r="O102" s="1155"/>
      <c r="P102" s="2684"/>
      <c r="Q102" s="504"/>
    </row>
    <row r="103" spans="1:17" ht="15.75" thickTop="1">
      <c r="A103" s="534"/>
      <c r="B103" s="538" t="s">
        <v>2613</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6"/>
      <c r="O104" s="1156"/>
      <c r="P104" s="2685"/>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5"/>
      <c r="O105" s="1155"/>
      <c r="P105" s="2685"/>
      <c r="Q105" s="559"/>
    </row>
    <row r="106" spans="1:17" ht="15" thickTop="1">
      <c r="A106" s="599"/>
      <c r="B106" s="538" t="s">
        <v>2614</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5"/>
      <c r="O107" s="1155"/>
      <c r="P107" s="2684"/>
      <c r="Q107" s="504"/>
    </row>
    <row r="108" spans="1:17" ht="15" thickTop="1">
      <c r="A108" s="599"/>
      <c r="B108" s="538" t="s">
        <v>2616</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4"/>
      <c r="Q112" s="504"/>
    </row>
    <row r="113" spans="1:17" s="471" customFormat="1" ht="15" thickTop="1">
      <c r="A113" s="593"/>
      <c r="B113" s="538" t="s">
        <v>2700</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6"/>
      <c r="O114" s="1156"/>
      <c r="P114" s="2685"/>
      <c r="Q114" s="559"/>
    </row>
    <row r="115" spans="1:17" ht="15" thickTop="1">
      <c r="A115" s="599"/>
      <c r="B115" s="538" t="s">
        <v>2617</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5"/>
      <c r="O116" s="1155"/>
      <c r="P116" s="2684"/>
      <c r="Q116" s="504"/>
    </row>
    <row r="117" spans="1:17" ht="15" thickTop="1">
      <c r="A117" s="599"/>
      <c r="B117" s="538" t="s">
        <v>2618</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5"/>
      <c r="O118" s="1155"/>
      <c r="P118" s="2684"/>
      <c r="Q118" s="504"/>
    </row>
    <row r="119" spans="1:17" ht="15" thickTop="1">
      <c r="A119" s="599"/>
      <c r="B119" s="636" t="s">
        <v>2701</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5"/>
      <c r="O120" s="1155"/>
      <c r="P120" s="2684"/>
      <c r="Q120" s="504"/>
    </row>
    <row r="121" spans="1:17" s="471" customFormat="1" ht="15" thickTop="1">
      <c r="A121" s="593"/>
      <c r="B121" s="538" t="s">
        <v>2684</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2620</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4"/>
      <c r="O125" s="1154"/>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2" sqref="I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3070</v>
      </c>
      <c r="D1" s="1823" t="s">
        <v>70</v>
      </c>
      <c r="E1" s="1824" t="s">
        <v>1388</v>
      </c>
      <c r="F1" s="1285">
        <f ca="1">J53</f>
        <v>36.659999999999997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467</v>
      </c>
      <c r="C2" s="1848" t="s">
        <v>1518</v>
      </c>
      <c r="D2" s="1848"/>
      <c r="E2" s="1849"/>
      <c r="F2" s="1850"/>
      <c r="G2" s="1851"/>
      <c r="H2" s="1843"/>
      <c r="I2" s="1843"/>
      <c r="J2" s="1843"/>
      <c r="K2" s="1844"/>
      <c r="L2" s="1843"/>
      <c r="M2" s="1843"/>
    </row>
    <row r="3" spans="1:37" ht="18" customHeight="1" thickBot="1">
      <c r="A3" s="1852" t="s">
        <v>1519</v>
      </c>
      <c r="B3" s="1853">
        <f ca="1">IF(ISERROR(B2*10000/F43),0,ROUND(B2*10000/F43,0))</f>
        <v>45108</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27</v>
      </c>
      <c r="D5" s="1825" t="s">
        <v>1403</v>
      </c>
      <c r="E5" s="1295"/>
      <c r="F5" s="1296"/>
      <c r="G5" s="1854"/>
      <c r="H5" s="344">
        <v>1</v>
      </c>
      <c r="I5" s="345" t="s">
        <v>1402</v>
      </c>
      <c r="J5" s="1294">
        <f ca="1">J6+J10+J12</f>
        <v>0</v>
      </c>
      <c r="K5" s="1825" t="s">
        <v>1403</v>
      </c>
      <c r="L5" s="1295"/>
      <c r="M5" s="1296"/>
    </row>
    <row r="6" spans="1:37" ht="18" customHeight="1">
      <c r="A6" s="1293" t="s">
        <v>1035</v>
      </c>
      <c r="B6" s="3184" t="s">
        <v>1404</v>
      </c>
      <c r="C6" s="1298">
        <f ca="1">ROUND(F6*F8*F7*(1-F9)/10000,0)</f>
        <v>27</v>
      </c>
      <c r="D6" s="164" t="s">
        <v>3034</v>
      </c>
      <c r="E6" s="347" t="s">
        <v>1406</v>
      </c>
      <c r="F6" s="348">
        <f ca="1">INDIRECT("'数据-取费表'!u"&amp;$G$1)</f>
        <v>8</v>
      </c>
      <c r="G6" s="1854"/>
      <c r="H6" s="1293" t="s">
        <v>1035</v>
      </c>
      <c r="I6" s="3184" t="s">
        <v>1404</v>
      </c>
      <c r="J6" s="346">
        <f ca="1">ROUND(M6*M8*M7*(1-M9)/10000,0)</f>
        <v>0</v>
      </c>
      <c r="K6" s="164" t="s">
        <v>3033</v>
      </c>
      <c r="L6" s="347" t="s">
        <v>1406</v>
      </c>
      <c r="M6" s="348">
        <f ca="1">INDIRECT("'数据-取费表'!z"&amp;$G$1)</f>
        <v>0</v>
      </c>
    </row>
    <row r="7" spans="1:37" ht="18" customHeight="1">
      <c r="A7" s="1297"/>
      <c r="B7" s="3185"/>
      <c r="C7" s="1299"/>
      <c r="D7" s="352"/>
      <c r="E7" s="1300" t="s">
        <v>1407</v>
      </c>
      <c r="F7" s="348">
        <f ca="1">IF(INDIRECT("'数据-取费表'!ah"&amp;$G$1)="",INDIRECT("'数据-取费表'!k"&amp;$G$1),INDIRECT("'数据-取费表'!ah"&amp;$G$1))</f>
        <v>103.53</v>
      </c>
      <c r="G7" s="1854"/>
      <c r="H7" s="349"/>
      <c r="I7" s="3185"/>
      <c r="J7" s="351"/>
      <c r="K7" s="352"/>
      <c r="L7" s="347" t="s">
        <v>1407</v>
      </c>
      <c r="M7" s="348">
        <f ca="1">F7</f>
        <v>103.53</v>
      </c>
    </row>
    <row r="8" spans="1:37" ht="18" customHeight="1">
      <c r="A8" s="349"/>
      <c r="B8" s="3185"/>
      <c r="C8" s="351"/>
      <c r="D8" s="352"/>
      <c r="E8" s="347" t="s">
        <v>1408</v>
      </c>
      <c r="F8" s="348">
        <f ca="1">INDIRECT("'数据-取费表'!ai"&amp;$G$1)</f>
        <v>365</v>
      </c>
      <c r="G8" s="1854"/>
      <c r="H8" s="349"/>
      <c r="I8" s="3185"/>
      <c r="J8" s="351"/>
      <c r="K8" s="352"/>
      <c r="L8" s="347" t="s">
        <v>1408</v>
      </c>
      <c r="M8" s="348">
        <f ca="1">INDIRECT("'数据-取费表'!ai"&amp;$G$1)</f>
        <v>365</v>
      </c>
    </row>
    <row r="9" spans="1:37" ht="18" customHeight="1">
      <c r="A9" s="349"/>
      <c r="B9" s="3186"/>
      <c r="C9" s="351"/>
      <c r="D9" s="352"/>
      <c r="E9" s="347" t="s">
        <v>1409</v>
      </c>
      <c r="F9" s="357">
        <f ca="1">INDIRECT("'数据-取费表'!w"&amp;$G$1)</f>
        <v>0.1</v>
      </c>
      <c r="G9" s="1854"/>
      <c r="H9" s="349"/>
      <c r="I9" s="318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3051</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48</v>
      </c>
      <c r="D13" s="1333" t="s">
        <v>1417</v>
      </c>
      <c r="E13" s="1333" t="s">
        <v>1418</v>
      </c>
      <c r="F13" s="1334">
        <f ca="1">INDIRECT("'数据-取费表'!y"&amp;$G$1)</f>
        <v>0.78</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36</v>
      </c>
      <c r="D14" s="1803" t="s">
        <v>1420</v>
      </c>
      <c r="E14" s="1797"/>
      <c r="F14" s="364"/>
      <c r="G14" s="1854"/>
      <c r="H14" s="1203" t="s">
        <v>1035</v>
      </c>
      <c r="I14" s="347" t="s">
        <v>1421</v>
      </c>
      <c r="J14" s="24">
        <f ca="1">C29</f>
        <v>61</v>
      </c>
      <c r="K14" s="15"/>
      <c r="L14" s="981"/>
      <c r="M14" s="982"/>
    </row>
    <row r="15" spans="1:37" s="1861" customFormat="1" ht="18" customHeight="1" thickBot="1">
      <c r="A15" s="1203" t="s">
        <v>1036</v>
      </c>
      <c r="B15" s="347" t="s">
        <v>1422</v>
      </c>
      <c r="C15" s="24">
        <f ca="1">ROUND(C14*F15,0)</f>
        <v>2</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2</v>
      </c>
      <c r="K16" s="1339" t="s">
        <v>1427</v>
      </c>
      <c r="L16" s="1340"/>
      <c r="M16" s="1296"/>
    </row>
    <row r="17" spans="1:37" s="1861" customFormat="1" ht="18" customHeight="1">
      <c r="A17" s="1203" t="s">
        <v>1391</v>
      </c>
      <c r="B17" s="347" t="s">
        <v>1428</v>
      </c>
      <c r="C17" s="24">
        <f ca="1">ROUND(F17*(F43+INDIRECT("'数据-取费表'!S"&amp;$G$1))/10000,0)</f>
        <v>2</v>
      </c>
      <c r="D17" s="347" t="s">
        <v>1429</v>
      </c>
      <c r="E17" s="347" t="s">
        <v>1430</v>
      </c>
      <c r="F17" s="26">
        <f>'数据-取费表'!B35</f>
        <v>200</v>
      </c>
      <c r="G17" s="1857"/>
      <c r="H17" s="1203" t="s">
        <v>1035</v>
      </c>
      <c r="I17" s="347" t="s">
        <v>1431</v>
      </c>
      <c r="J17" s="24">
        <f ca="1">ROUND(IF(项目基本情况!B11="自然人",J5*M17,J18+J19+J20),1)</f>
        <v>0.5</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1</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41</v>
      </c>
      <c r="D19" s="140" t="s">
        <v>1438</v>
      </c>
      <c r="E19" s="1821"/>
      <c r="F19" s="26"/>
      <c r="G19" s="1854"/>
      <c r="H19" s="1203" t="s">
        <v>1036</v>
      </c>
      <c r="I19" s="347" t="s">
        <v>1439</v>
      </c>
      <c r="J19" s="24">
        <f ca="1">IF(K19="按租金收入计税",ROUND(J5*M19,2),ROUND(C29*M19*0.7,2))</f>
        <v>0.51</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v>
      </c>
      <c r="D20" s="369" t="s">
        <v>1442</v>
      </c>
      <c r="E20" s="347" t="s">
        <v>1424</v>
      </c>
      <c r="F20" s="367">
        <f>'数据-取费表'!B37</f>
        <v>0.03</v>
      </c>
      <c r="G20" s="1857"/>
      <c r="H20" s="1203" t="s">
        <v>1390</v>
      </c>
      <c r="I20" s="164" t="s">
        <v>1443</v>
      </c>
      <c r="J20" s="25">
        <f ca="1">ROUND(M20*M21/10000,2)</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1.2</v>
      </c>
      <c r="K22" s="1801" t="s">
        <v>1452</v>
      </c>
      <c r="L22" s="347" t="s">
        <v>1424</v>
      </c>
      <c r="M22" s="374">
        <f ca="1">INDIRECT("'数据-取费表'!Ak"&amp;$G$1)</f>
        <v>0.02</v>
      </c>
    </row>
    <row r="23" spans="1:37" s="1861" customFormat="1" ht="18" customHeight="1">
      <c r="A23" s="1203" t="s">
        <v>1034</v>
      </c>
      <c r="B23" s="347" t="s">
        <v>1453</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3.0000000000000001E-3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-2</v>
      </c>
      <c r="K25" s="1347" t="s">
        <v>1466</v>
      </c>
      <c r="L25" s="1348"/>
      <c r="M25" s="1349"/>
    </row>
    <row r="26" spans="1:37">
      <c r="A26" s="1203" t="s">
        <v>1034</v>
      </c>
      <c r="B26" s="347" t="s">
        <v>1467</v>
      </c>
      <c r="C26" s="24">
        <f ca="1">ROUND((C19+C20)*F26,0)</f>
        <v>11</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5.5E-2</v>
      </c>
    </row>
    <row r="27" spans="1:37" ht="18" customHeight="1">
      <c r="A27" s="1203" t="s">
        <v>1036</v>
      </c>
      <c r="B27" s="347" t="s">
        <v>1473</v>
      </c>
      <c r="C27" s="24">
        <f ca="1">ROUND(F21*F26,4)</f>
        <v>7.4999999999999997E-3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61</v>
      </c>
      <c r="D29" s="1344"/>
      <c r="E29" s="1342"/>
      <c r="F29" s="1345"/>
      <c r="G29" s="1857"/>
      <c r="H29" s="380" t="s">
        <v>1033</v>
      </c>
      <c r="I29" s="381" t="s">
        <v>1481</v>
      </c>
      <c r="J29" s="382">
        <f ca="1">ROUND(J26/(1+F40)^F41,0)</f>
        <v>0</v>
      </c>
      <c r="K29" s="383" t="s">
        <v>1482</v>
      </c>
      <c r="L29" s="384"/>
      <c r="M29" s="385">
        <f ca="1">INDIRECT("'数据-取费表'!k"&amp;$G$1)</f>
        <v>103.53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4</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2</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1.44</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0.51</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1.2</v>
      </c>
      <c r="D36" s="1801" t="s">
        <v>1484</v>
      </c>
      <c r="E36" s="347" t="s">
        <v>1424</v>
      </c>
      <c r="F36" s="374">
        <f ca="1">INDIRECT("'数据-取费表'!Ak"&amp;$G$1)</f>
        <v>0.02</v>
      </c>
      <c r="G36" s="1854"/>
      <c r="H36" s="1862"/>
      <c r="I36" s="1863"/>
      <c r="J36" s="1864"/>
      <c r="K36" s="751"/>
      <c r="L36" s="1862"/>
      <c r="M36" s="1862"/>
    </row>
    <row r="37" spans="1:18" ht="18" customHeight="1">
      <c r="A37" s="1203" t="s">
        <v>1075</v>
      </c>
      <c r="B37" s="347" t="s">
        <v>1455</v>
      </c>
      <c r="C37" s="24">
        <f ca="1">ROUND(C13*F37,1)</f>
        <v>0.1</v>
      </c>
      <c r="D37" s="1801" t="s">
        <v>1456</v>
      </c>
      <c r="E37" s="347" t="s">
        <v>1457</v>
      </c>
      <c r="F37" s="376">
        <f ca="1">INDIRECT("'数据-取费表'!Al"&amp;$G$1)</f>
        <v>3.0000000000000001E-3</v>
      </c>
      <c r="G37" s="1854"/>
      <c r="H37" s="1862"/>
      <c r="I37" s="1863"/>
      <c r="J37" s="1864"/>
      <c r="K37" s="751"/>
      <c r="L37" s="1862"/>
      <c r="M37" s="1862"/>
    </row>
    <row r="38" spans="1:18" ht="18" customHeight="1" thickBot="1">
      <c r="A38" s="1341" t="s">
        <v>1394</v>
      </c>
      <c r="B38" s="1342" t="s">
        <v>1441</v>
      </c>
      <c r="C38" s="1343">
        <f ca="1">ROUND(C5*F38,1)</f>
        <v>0.8</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23</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466</v>
      </c>
      <c r="D40" s="370" t="s">
        <v>1471</v>
      </c>
      <c r="E40" s="347" t="s">
        <v>1472</v>
      </c>
      <c r="F40" s="357">
        <f ca="1">INDIRECT("'数据-取费表'!I"&amp;$G$1)</f>
        <v>5.5E-2</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1479</v>
      </c>
      <c r="F42" s="357">
        <f ca="1">INDIRECT("'数据-取费表'!v"&amp;$G$1)</f>
        <v>0.02</v>
      </c>
      <c r="G42" s="1854"/>
      <c r="H42" s="732"/>
      <c r="I42" s="1863"/>
      <c r="J42" s="1864"/>
      <c r="K42" s="751"/>
      <c r="L42" s="732"/>
      <c r="M42" s="732"/>
    </row>
    <row r="43" spans="1:18" ht="18" customHeight="1" thickBot="1">
      <c r="A43" s="380" t="s">
        <v>1033</v>
      </c>
      <c r="B43" s="381" t="s">
        <v>1489</v>
      </c>
      <c r="C43" s="382">
        <f ca="1">ROUND(C40*10000/F43,0)</f>
        <v>45011</v>
      </c>
      <c r="D43" s="383" t="s">
        <v>1490</v>
      </c>
      <c r="E43" s="384" t="s">
        <v>1491</v>
      </c>
      <c r="F43" s="385">
        <f ca="1">INDIRECT("'数据-取费表'!k"&amp;$G$1)</f>
        <v>103.53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-497</v>
      </c>
      <c r="D46" s="1875" t="str">
        <f>C2</f>
        <v>万元</v>
      </c>
      <c r="E46" s="1869"/>
      <c r="F46" s="1869"/>
      <c r="I46" s="1876" t="s">
        <v>1523</v>
      </c>
      <c r="J46" s="1877"/>
      <c r="K46" s="1878"/>
      <c r="L46" s="1879">
        <f ca="1">IF(M47="住宅",0,IF(L48&gt;J51,L60,J60))</f>
        <v>1</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3109</v>
      </c>
      <c r="K47" s="1885" t="s">
        <v>1529</v>
      </c>
      <c r="L47" s="1886">
        <f ca="1">INDIRECT("'数据-取费表'!d"&amp;$G$1)</f>
        <v>50</v>
      </c>
      <c r="M47" s="1841" t="str">
        <f>IF(ISNUMBER(FIND("住宅",C1)),"住宅","非住宅")</f>
        <v>非住宅</v>
      </c>
      <c r="O47" s="1887" t="s">
        <v>1040</v>
      </c>
      <c r="P47" s="1888" t="s">
        <v>1530</v>
      </c>
      <c r="Q47" s="1889">
        <f ca="1">C40+J29</f>
        <v>466</v>
      </c>
      <c r="R47" s="1889" t="s">
        <v>1531</v>
      </c>
    </row>
    <row r="48" spans="1:18" s="1845" customFormat="1" ht="28.5" thickBot="1">
      <c r="A48" s="1362" t="s">
        <v>1135</v>
      </c>
      <c r="B48" s="345" t="s">
        <v>1402</v>
      </c>
      <c r="C48" s="1820">
        <f ca="1">C49+C53+C55</f>
        <v>0</v>
      </c>
      <c r="D48" s="1364"/>
      <c r="E48" s="1365"/>
      <c r="F48" s="1183"/>
      <c r="G48" s="792"/>
      <c r="H48" s="793"/>
      <c r="I48" s="1890" t="s">
        <v>1532</v>
      </c>
      <c r="J48" s="1891" t="s">
        <v>3115</v>
      </c>
      <c r="K48" s="1892" t="s">
        <v>1533</v>
      </c>
      <c r="L48" s="1893">
        <f ca="1">INDIRECT("'数据-取费表'!f"&amp;$G$1)</f>
        <v>36.659999999999997</v>
      </c>
      <c r="O48" s="1887" t="s">
        <v>1041</v>
      </c>
      <c r="P48" s="1888" t="s">
        <v>1534</v>
      </c>
      <c r="Q48" s="1889">
        <f ca="1">J60</f>
        <v>1</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v>2005</v>
      </c>
      <c r="K49" s="1892" t="s">
        <v>1537</v>
      </c>
      <c r="L49" s="1896"/>
      <c r="O49" s="1897" t="s">
        <v>1042</v>
      </c>
      <c r="P49" s="1888" t="s">
        <v>1538</v>
      </c>
      <c r="Q49" s="1889">
        <f ca="1">C29</f>
        <v>61</v>
      </c>
      <c r="R49" s="1889" t="s">
        <v>1531</v>
      </c>
    </row>
    <row r="50" spans="1:18" s="1845" customFormat="1" ht="13.5" thickBot="1">
      <c r="A50" s="1197"/>
      <c r="B50" s="1200"/>
      <c r="C50" s="1370"/>
      <c r="D50" s="1174"/>
      <c r="E50" s="1279" t="s">
        <v>1407</v>
      </c>
      <c r="F50" s="1280">
        <f ca="1">F7</f>
        <v>103.53</v>
      </c>
      <c r="H50" s="793"/>
      <c r="I50" s="1890" t="s">
        <v>1539</v>
      </c>
      <c r="J50" s="1898">
        <f>SUMPRODUCT((I63:I65=J47)*(J62:L62=J48)*(J63:L65))</f>
        <v>60</v>
      </c>
      <c r="K50" s="1892" t="s">
        <v>1540</v>
      </c>
      <c r="L50" s="1896"/>
      <c r="M50" s="1899"/>
      <c r="O50" s="1897" t="s">
        <v>1043</v>
      </c>
      <c r="P50" s="1888" t="s">
        <v>1541</v>
      </c>
      <c r="Q50" s="1900">
        <f ca="1">J58</f>
        <v>0.4</v>
      </c>
      <c r="R50" s="1889"/>
    </row>
    <row r="51" spans="1:18" s="1845" customFormat="1" ht="13.5" thickBot="1">
      <c r="A51" s="1198"/>
      <c r="B51" s="1200"/>
      <c r="C51" s="1201"/>
      <c r="D51" s="1174"/>
      <c r="E51" s="1202" t="s">
        <v>1408</v>
      </c>
      <c r="F51" s="348">
        <f ca="1">F8</f>
        <v>365</v>
      </c>
      <c r="I51" s="1901" t="s">
        <v>1542</v>
      </c>
      <c r="J51" s="1902">
        <f>IF(J49="",J50,J49+J50-YEAR('数据-取费表'!B2))</f>
        <v>47</v>
      </c>
      <c r="K51" s="1903" t="s">
        <v>1543</v>
      </c>
      <c r="L51" s="1904">
        <f ca="1">ROUND(-PV(INDIRECT("'数据-取费表'!h"&amp;$G$1),L48,(C39-C13*C76),0),0)</f>
        <v>341</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36.659999999999997</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36.659999999999997</v>
      </c>
      <c r="K53" s="3182" t="s">
        <v>1550</v>
      </c>
      <c r="L53" s="3183"/>
      <c r="O53" s="1887" t="s">
        <v>1046</v>
      </c>
      <c r="P53" s="1888" t="s">
        <v>1551</v>
      </c>
      <c r="Q53" s="1889">
        <f ca="1">Q47+Q48</f>
        <v>467</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0.17199999999999999</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48</v>
      </c>
      <c r="D56" s="1917"/>
      <c r="E56" s="1918"/>
      <c r="F56" s="1910"/>
      <c r="I56" s="1919" t="s">
        <v>1556</v>
      </c>
      <c r="J56" s="1920" t="s">
        <v>3062</v>
      </c>
      <c r="K56" s="1890" t="s">
        <v>1557</v>
      </c>
      <c r="L56" s="1893" t="str">
        <f ca="1">IF(L48&lt;J51,"——",L48-J53)</f>
        <v>——</v>
      </c>
      <c r="O56" s="1887" t="s">
        <v>1040</v>
      </c>
      <c r="P56" s="1888" t="s">
        <v>1530</v>
      </c>
      <c r="Q56" s="1889">
        <f ca="1">C40+J29</f>
        <v>466</v>
      </c>
      <c r="R56" s="1889" t="s">
        <v>1531</v>
      </c>
    </row>
    <row r="57" spans="1:18" s="1845" customFormat="1" ht="24.75" thickBot="1">
      <c r="A57" s="1921"/>
      <c r="B57" s="1171" t="s">
        <v>1480</v>
      </c>
      <c r="C57" s="282">
        <f ca="1">C29</f>
        <v>61</v>
      </c>
      <c r="D57" s="1922"/>
      <c r="E57" s="1923"/>
      <c r="F57" s="1924"/>
      <c r="I57" s="1925" t="s">
        <v>1558</v>
      </c>
      <c r="J57" s="1926">
        <f ca="1">IF(OR(M47="住宅",J51&lt;L48,J56="是"),"——",J51-L48)</f>
        <v>10.340000000000003</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2</v>
      </c>
      <c r="D58" s="1181" t="s">
        <v>1427</v>
      </c>
      <c r="E58" s="1182"/>
      <c r="F58" s="1183"/>
      <c r="I58" s="1925" t="s">
        <v>1562</v>
      </c>
      <c r="J58" s="1927">
        <f ca="1">IF(J55&lt;0.4,0.4,J55)</f>
        <v>0.4</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0.5</v>
      </c>
      <c r="D59" s="1184" t="s">
        <v>1432</v>
      </c>
      <c r="E59" s="1185" t="s">
        <v>1433</v>
      </c>
      <c r="F59" s="368" t="str">
        <f ca="1">IF(项目基本情况!B11="企业","",IF(INDIRECT("'数据-取费表'!c"&amp;$G$1)="住宅",5%,IF(F49*F50*F51/12/(1+'数据-取费表'!C42)&gt;20000,12%,7%)))</f>
        <v/>
      </c>
      <c r="I59" s="1925" t="s">
        <v>1565</v>
      </c>
      <c r="J59" s="1926">
        <f ca="1">IF(OR(M47="住宅",J51&lt;L48,J56="是"),"——",ROUND(C29*J58,0))</f>
        <v>24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f ca="1">IF(OR(M47="住宅",J51&lt;L48,J56="是"),"0",ROUND(J59/(1+J52)^J53,0))</f>
        <v>1</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0.51</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24</v>
      </c>
      <c r="I62" s="1932" t="s">
        <v>1572</v>
      </c>
      <c r="J62" s="1933" t="s">
        <v>1573</v>
      </c>
      <c r="K62" s="1933" t="s">
        <v>1574</v>
      </c>
      <c r="L62" s="1933" t="s">
        <v>1575</v>
      </c>
      <c r="M62" s="1934" t="s">
        <v>1576</v>
      </c>
      <c r="O62" s="1887" t="s">
        <v>1046</v>
      </c>
      <c r="P62" s="1888" t="s">
        <v>1577</v>
      </c>
      <c r="Q62" s="1889">
        <f ca="1">Q56+Q57</f>
        <v>466</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1.2</v>
      </c>
      <c r="D64" s="1185" t="s">
        <v>1504</v>
      </c>
      <c r="E64" s="1171"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0.1</v>
      </c>
      <c r="D65" s="1185" t="s">
        <v>1456</v>
      </c>
      <c r="E65" s="1171" t="s">
        <v>1457</v>
      </c>
      <c r="F65" s="376">
        <f t="shared" ca="1" si="0"/>
        <v>3.0000000000000001E-3</v>
      </c>
      <c r="I65" s="1932" t="s">
        <v>1581</v>
      </c>
      <c r="J65" s="1933">
        <v>40</v>
      </c>
      <c r="K65" s="1933">
        <v>30</v>
      </c>
      <c r="L65" s="1933">
        <v>50</v>
      </c>
      <c r="M65" s="1935">
        <v>0.02</v>
      </c>
      <c r="O65" s="1887" t="s">
        <v>1040</v>
      </c>
      <c r="P65" s="1888" t="s">
        <v>1582</v>
      </c>
      <c r="Q65" s="1889">
        <f ca="1">C40+J29</f>
        <v>466</v>
      </c>
      <c r="R65" s="1889" t="s">
        <v>1531</v>
      </c>
    </row>
    <row r="66" spans="1:18" s="1845" customFormat="1" ht="16.5" thickBot="1">
      <c r="A66" s="1203" t="s">
        <v>1506</v>
      </c>
      <c r="B66" s="1171" t="s">
        <v>1441</v>
      </c>
      <c r="C66" s="24">
        <f ca="1">ROUND(C48*F66,1)</f>
        <v>0</v>
      </c>
      <c r="D66" s="1185" t="s">
        <v>1507</v>
      </c>
      <c r="E66" s="1171" t="s">
        <v>1424</v>
      </c>
      <c r="F66" s="357">
        <f t="shared" ca="1" si="0"/>
        <v>0.03</v>
      </c>
      <c r="O66" s="1887" t="s">
        <v>1041</v>
      </c>
      <c r="P66" s="1888" t="s">
        <v>1560</v>
      </c>
      <c r="Q66" s="1889">
        <f ca="1">L60</f>
        <v>0</v>
      </c>
      <c r="R66" s="1889" t="s">
        <v>1583</v>
      </c>
    </row>
    <row r="67" spans="1:18" s="1845" customFormat="1" ht="16.5" thickBot="1">
      <c r="A67" s="1178" t="s">
        <v>1031</v>
      </c>
      <c r="B67" s="1188" t="s">
        <v>1465</v>
      </c>
      <c r="C67" s="361">
        <f ca="1">C48-C58</f>
        <v>-2</v>
      </c>
      <c r="D67" s="1184" t="s">
        <v>1466</v>
      </c>
      <c r="E67" s="1189"/>
      <c r="F67" s="1190"/>
      <c r="O67" s="1897" t="s">
        <v>1042</v>
      </c>
      <c r="P67" s="1888" t="s">
        <v>1564</v>
      </c>
      <c r="Q67" s="1936">
        <f ca="1">L51</f>
        <v>341</v>
      </c>
      <c r="R67" s="1889" t="s">
        <v>1584</v>
      </c>
    </row>
    <row r="68" spans="1:18" s="1845" customFormat="1" ht="16.5" thickBot="1">
      <c r="A68" s="1168" t="s">
        <v>1032</v>
      </c>
      <c r="B68" s="1169" t="s">
        <v>1487</v>
      </c>
      <c r="C68" s="346">
        <f ca="1">ROUND(C67*(1-((1+F70)/(1+F68))^F69)/(F68-F70),0)</f>
        <v>-31</v>
      </c>
      <c r="D68" s="1186" t="s">
        <v>1471</v>
      </c>
      <c r="E68" s="1171" t="s">
        <v>1472</v>
      </c>
      <c r="F68" s="357">
        <f ca="1">F40</f>
        <v>5.5E-2</v>
      </c>
      <c r="O68" s="1897" t="s">
        <v>1043</v>
      </c>
      <c r="P68" s="1937" t="s">
        <v>1585</v>
      </c>
      <c r="Q68" s="1889">
        <f ca="1">ROUND(Q69-Q70*Q71,0)</f>
        <v>19</v>
      </c>
      <c r="R68" s="1889" t="s">
        <v>1051</v>
      </c>
    </row>
    <row r="69" spans="1:18" s="1845" customFormat="1" ht="13.5" thickBot="1">
      <c r="A69" s="1172"/>
      <c r="B69" s="1173"/>
      <c r="C69" s="351"/>
      <c r="D69" s="1191" t="s">
        <v>1475</v>
      </c>
      <c r="E69" s="1171" t="s">
        <v>1476</v>
      </c>
      <c r="F69" s="379">
        <f ca="1">F41</f>
        <v>36.659999999999997</v>
      </c>
      <c r="O69" s="1897" t="s">
        <v>1048</v>
      </c>
      <c r="P69" s="1937" t="s">
        <v>1586</v>
      </c>
      <c r="Q69" s="1889">
        <f ca="1">C39</f>
        <v>23</v>
      </c>
      <c r="R69" s="1889" t="s">
        <v>1531</v>
      </c>
    </row>
    <row r="70" spans="1:18" s="1845" customFormat="1" ht="13.5" thickBot="1">
      <c r="A70" s="1175"/>
      <c r="B70" s="1176"/>
      <c r="C70" s="355"/>
      <c r="D70" s="1187"/>
      <c r="E70" s="1171" t="s">
        <v>1479</v>
      </c>
      <c r="F70" s="1277"/>
      <c r="O70" s="1897" t="s">
        <v>1049</v>
      </c>
      <c r="P70" s="1937" t="s">
        <v>1587</v>
      </c>
      <c r="Q70" s="1889">
        <f ca="1">C13</f>
        <v>48</v>
      </c>
      <c r="R70" s="1889" t="s">
        <v>1531</v>
      </c>
    </row>
    <row r="71" spans="1:18" s="1845" customFormat="1" ht="13.5" thickBot="1">
      <c r="A71" s="1192" t="s">
        <v>1033</v>
      </c>
      <c r="B71" s="1193" t="s">
        <v>1489</v>
      </c>
      <c r="C71" s="382">
        <f ca="1">ROUND(C68*10000/F71,0)</f>
        <v>-2994</v>
      </c>
      <c r="D71" s="1194" t="s">
        <v>1490</v>
      </c>
      <c r="E71" s="1195" t="s">
        <v>1491</v>
      </c>
      <c r="F71" s="385">
        <f ca="1">F43</f>
        <v>103.53</v>
      </c>
      <c r="O71" s="1897" t="s">
        <v>1050</v>
      </c>
      <c r="P71" s="1937" t="s">
        <v>1588</v>
      </c>
      <c r="Q71" s="1900">
        <f ca="1">C76</f>
        <v>0.08</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v>
      </c>
      <c r="D75" s="1845"/>
      <c r="E75" s="1845"/>
      <c r="F75" s="1845"/>
      <c r="K75" s="1871"/>
      <c r="L75" s="1845"/>
      <c r="O75" s="1887" t="s">
        <v>1046</v>
      </c>
      <c r="P75" s="1888" t="s">
        <v>1551</v>
      </c>
      <c r="Q75" s="1889">
        <f ca="1">Q65+Q66</f>
        <v>466</v>
      </c>
      <c r="R75" s="1889" t="s">
        <v>1047</v>
      </c>
    </row>
    <row r="76" spans="1:18">
      <c r="B76" s="388" t="s">
        <v>1509</v>
      </c>
      <c r="C76" s="389">
        <f ca="1">INDIRECT("'数据-取费表'!j"&amp;$G$1)</f>
        <v>0.08</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0.82600000000000007</v>
      </c>
    </row>
    <row r="80" spans="1:18">
      <c r="B80" s="386" t="s">
        <v>1513</v>
      </c>
      <c r="C80" s="318">
        <f ca="1">ROUND(C75/C39,3)</f>
        <v>0.17399999999999999</v>
      </c>
    </row>
    <row r="81" spans="2:3">
      <c r="B81" s="314" t="s">
        <v>1514</v>
      </c>
      <c r="C81" s="282"/>
    </row>
    <row r="82" spans="2:3">
      <c r="B82" s="317" t="s">
        <v>1515</v>
      </c>
      <c r="C82" s="319">
        <f ca="1">1-C83</f>
        <v>0.89700000000000002</v>
      </c>
    </row>
    <row r="83" spans="2:3">
      <c r="B83" s="317" t="s">
        <v>1516</v>
      </c>
      <c r="C83" s="318">
        <f ca="1">ROUND(C13/C40,3)</f>
        <v>0.10299999999999999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184" t="s">
        <v>1404</v>
      </c>
      <c r="C6" s="1298">
        <f ca="1">ROUND(F6*F8*F7*(1-F9),0)</f>
        <v>0</v>
      </c>
      <c r="D6" s="164" t="s">
        <v>3029</v>
      </c>
      <c r="E6" s="347" t="s">
        <v>1406</v>
      </c>
      <c r="F6" s="348">
        <f ca="1">INDIRECT("'数据-取费表'!u"&amp;$G$1)</f>
        <v>0</v>
      </c>
      <c r="G6" s="1854"/>
      <c r="H6" s="1293" t="s">
        <v>1035</v>
      </c>
      <c r="I6" s="3184" t="s">
        <v>1404</v>
      </c>
      <c r="J6" s="346">
        <f ca="1">ROUND(M6*M8*M7*(1-M9),0)</f>
        <v>0</v>
      </c>
      <c r="K6" s="1837" t="s">
        <v>3032</v>
      </c>
      <c r="L6" s="347" t="s">
        <v>1406</v>
      </c>
      <c r="M6" s="348">
        <f ca="1">INDIRECT("'数据-取费表'!z"&amp;$G$1)</f>
        <v>0</v>
      </c>
    </row>
    <row r="7" spans="1:37" ht="18" customHeight="1">
      <c r="A7" s="1297"/>
      <c r="B7" s="3185"/>
      <c r="C7" s="1299"/>
      <c r="D7" s="352"/>
      <c r="E7" s="1300" t="s">
        <v>1407</v>
      </c>
      <c r="F7" s="348">
        <f ca="1">IF(INDIRECT("'数据-取费表'!ah"&amp;$G$1)="",INDIRECT("'数据-取费表'!k"&amp;$G$1),INDIRECT("'数据-取费表'!ah"&amp;$G$1))</f>
        <v>0</v>
      </c>
      <c r="G7" s="1854"/>
      <c r="H7" s="349"/>
      <c r="I7" s="3185"/>
      <c r="J7" s="351"/>
      <c r="K7" s="352"/>
      <c r="L7" s="347" t="s">
        <v>1407</v>
      </c>
      <c r="M7" s="348">
        <f ca="1">F7</f>
        <v>0</v>
      </c>
    </row>
    <row r="8" spans="1:37" ht="18" customHeight="1">
      <c r="A8" s="349"/>
      <c r="B8" s="3185"/>
      <c r="C8" s="351"/>
      <c r="D8" s="352"/>
      <c r="E8" s="347" t="s">
        <v>1408</v>
      </c>
      <c r="F8" s="348">
        <f ca="1">INDIRECT("'数据-取费表'!ai"&amp;$G$1)</f>
        <v>0</v>
      </c>
      <c r="G8" s="1854"/>
      <c r="H8" s="349"/>
      <c r="I8" s="3185"/>
      <c r="J8" s="351"/>
      <c r="K8" s="352"/>
      <c r="L8" s="347" t="s">
        <v>1408</v>
      </c>
      <c r="M8" s="348">
        <f ca="1">INDIRECT("'数据-取费表'!ai"&amp;$G$1)</f>
        <v>0</v>
      </c>
    </row>
    <row r="9" spans="1:37" ht="18" customHeight="1">
      <c r="A9" s="349"/>
      <c r="B9" s="3186"/>
      <c r="C9" s="351"/>
      <c r="D9" s="352"/>
      <c r="E9" s="347" t="s">
        <v>1409</v>
      </c>
      <c r="F9" s="357">
        <f ca="1">INDIRECT("'数据-取费表'!w"&amp;$G$1)</f>
        <v>0</v>
      </c>
      <c r="G9" s="1854"/>
      <c r="H9" s="349"/>
      <c r="I9" s="318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3030</v>
      </c>
      <c r="E10" s="358" t="s">
        <v>1412</v>
      </c>
      <c r="F10" s="1368"/>
      <c r="G10" s="1854"/>
      <c r="H10" s="1293" t="s">
        <v>1039</v>
      </c>
      <c r="I10" s="1826" t="s">
        <v>1410</v>
      </c>
      <c r="J10" s="346">
        <f ca="1">ROUND(IF(M10="押一",M6*M8*M7/12*M11,IF(M10="押二",M6*M8*M7/12*2*M11,IF(M10="押三",M6*M8*M7/12*3*M11,J11*M11))),0)</f>
        <v>0</v>
      </c>
      <c r="K10" s="1838" t="s">
        <v>3031</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ROUND(M20*M21,0)</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182" t="s">
        <v>1550</v>
      </c>
      <c r="L53" s="3183"/>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2526</v>
      </c>
      <c r="B1" s="2562"/>
      <c r="C1" s="2562"/>
      <c r="D1" s="2562"/>
      <c r="E1" s="2563"/>
    </row>
    <row r="2" spans="1:6" ht="15.75">
      <c r="A2" s="2564" t="s">
        <v>2327</v>
      </c>
      <c r="B2" s="2565">
        <f ca="1">SUMIF(B6:B13,"&lt;&gt;#ref!",B6:B13)</f>
        <v>467</v>
      </c>
      <c r="C2" s="2566" t="s">
        <v>2519</v>
      </c>
      <c r="D2" s="2567" t="s">
        <v>2520</v>
      </c>
      <c r="E2" s="2568">
        <f>SUM(E6:E13)</f>
        <v>103.53</v>
      </c>
    </row>
    <row r="3" spans="1:6" ht="15.75">
      <c r="A3" s="2564" t="s">
        <v>1396</v>
      </c>
      <c r="B3" s="2565">
        <f ca="1">ROUND(B2*10000/E2,0)</f>
        <v>45108</v>
      </c>
      <c r="C3" s="2566" t="s">
        <v>2527</v>
      </c>
      <c r="D3" s="2569"/>
      <c r="E3" s="2570"/>
    </row>
    <row r="4" spans="1:6" ht="15.75">
      <c r="A4" s="2571"/>
      <c r="B4" s="2569"/>
      <c r="C4" s="2569"/>
      <c r="D4" s="2569"/>
      <c r="E4" s="2570"/>
    </row>
    <row r="5" spans="1:6" ht="15">
      <c r="A5" s="2572" t="s">
        <v>2521</v>
      </c>
      <c r="B5" s="3187" t="s">
        <v>2522</v>
      </c>
      <c r="C5" s="3187"/>
      <c r="D5" s="2573"/>
      <c r="E5" s="2574" t="s">
        <v>2523</v>
      </c>
      <c r="F5" s="2575" t="s">
        <v>2524</v>
      </c>
    </row>
    <row r="6" spans="1:6">
      <c r="A6" s="2576" t="str">
        <f>'数据-取费表'!AN6</f>
        <v>收益法</v>
      </c>
      <c r="B6" s="2575">
        <f ca="1">IF(F6="是",'数据-取费表'!AO6,0)</f>
        <v>467</v>
      </c>
      <c r="C6" s="2566" t="s">
        <v>2519</v>
      </c>
      <c r="D6" s="2569"/>
      <c r="E6" s="2577">
        <f>IF(OR(A6=0,F6="否"),0,'数据-取费表'!K6+'数据-取费表'!S6)</f>
        <v>103.53</v>
      </c>
      <c r="F6" s="2578" t="s">
        <v>2525</v>
      </c>
    </row>
    <row r="7" spans="1:6">
      <c r="A7" s="2576">
        <f>'数据-取费表'!AN7</f>
        <v>0</v>
      </c>
      <c r="B7" s="2575" t="e">
        <f ca="1">IF(F7="是",'数据-取费表'!AO7,0)</f>
        <v>#REF!</v>
      </c>
      <c r="C7" s="2566" t="s">
        <v>2519</v>
      </c>
      <c r="D7" s="2569"/>
      <c r="E7" s="2577">
        <f>IF(OR(A7=0,F7="否"),0,'数据-取费表'!K7+'数据-取费表'!S7)</f>
        <v>0</v>
      </c>
      <c r="F7" s="2578" t="s">
        <v>2525</v>
      </c>
    </row>
    <row r="8" spans="1:6">
      <c r="A8" s="2576">
        <f>'数据-取费表'!AN8</f>
        <v>0</v>
      </c>
      <c r="B8" s="2575" t="e">
        <f ca="1">IF(F8="是",'数据-取费表'!AO8,0)</f>
        <v>#REF!</v>
      </c>
      <c r="C8" s="2566" t="s">
        <v>2519</v>
      </c>
      <c r="D8" s="2569"/>
      <c r="E8" s="2577">
        <f>IF(OR(A8=0,F8="否"),0,'数据-取费表'!K8+'数据-取费表'!S8)</f>
        <v>0</v>
      </c>
      <c r="F8" s="2578" t="s">
        <v>2525</v>
      </c>
    </row>
    <row r="9" spans="1:6">
      <c r="A9" s="2576">
        <f>'数据-取费表'!AN9</f>
        <v>0</v>
      </c>
      <c r="B9" s="2575" t="e">
        <f ca="1">IF(F9="是",'数据-取费表'!AO9,0)</f>
        <v>#REF!</v>
      </c>
      <c r="C9" s="2566" t="s">
        <v>2519</v>
      </c>
      <c r="D9" s="2569"/>
      <c r="E9" s="2577">
        <f>IF(OR(A9=0,F9="否"),0,'数据-取费表'!K9+'数据-取费表'!S9)</f>
        <v>0</v>
      </c>
      <c r="F9" s="2578" t="s">
        <v>2525</v>
      </c>
    </row>
    <row r="10" spans="1:6">
      <c r="A10" s="2576">
        <f>'数据-取费表'!AN10</f>
        <v>0</v>
      </c>
      <c r="B10" s="2575" t="e">
        <f ca="1">IF(F10="是",'数据-取费表'!AO10,0)</f>
        <v>#REF!</v>
      </c>
      <c r="C10" s="2566" t="s">
        <v>2519</v>
      </c>
      <c r="D10" s="2569"/>
      <c r="E10" s="2577">
        <f>IF(OR(A10=0,F10="否"),0,'数据-取费表'!K10+'数据-取费表'!S10)</f>
        <v>0</v>
      </c>
      <c r="F10" s="2578" t="s">
        <v>2525</v>
      </c>
    </row>
    <row r="11" spans="1:6">
      <c r="A11" s="2576">
        <f>'数据-取费表'!AN11</f>
        <v>0</v>
      </c>
      <c r="B11" s="2575" t="e">
        <f ca="1">IF(F11="是",'数据-取费表'!AO11,0)</f>
        <v>#REF!</v>
      </c>
      <c r="C11" s="2566" t="s">
        <v>2519</v>
      </c>
      <c r="D11" s="2569"/>
      <c r="E11" s="2577">
        <f>IF(OR(A11=0,F11="否"),0,'数据-取费表'!K11+'数据-取费表'!S11)</f>
        <v>0</v>
      </c>
      <c r="F11" s="2578" t="s">
        <v>2525</v>
      </c>
    </row>
    <row r="12" spans="1:6">
      <c r="A12" s="2576">
        <f>'数据-取费表'!AN12</f>
        <v>0</v>
      </c>
      <c r="B12" s="2575" t="e">
        <f ca="1">IF(F12="是",'数据-取费表'!AO12,0)</f>
        <v>#REF!</v>
      </c>
      <c r="C12" s="2566" t="s">
        <v>2519</v>
      </c>
      <c r="D12" s="2569"/>
      <c r="E12" s="2577">
        <f>IF(OR(A12=0,F12="否"),0,'数据-取费表'!K12+'数据-取费表'!S12)</f>
        <v>0</v>
      </c>
      <c r="F12" s="2578" t="s">
        <v>2525</v>
      </c>
    </row>
    <row r="13" spans="1:6" ht="15" thickBot="1">
      <c r="A13" s="2579">
        <f>'数据-取费表'!AN13</f>
        <v>0</v>
      </c>
      <c r="B13" s="2575" t="e">
        <f ca="1">IF(F13="是",'数据-取费表'!AO13,0)</f>
        <v>#REF!</v>
      </c>
      <c r="C13" s="2580" t="s">
        <v>2519</v>
      </c>
      <c r="D13" s="2581"/>
      <c r="E13" s="2577">
        <f>IF(OR(A13=0,F13="否"),0,'数据-取费表'!K13+'数据-取费表'!S13)</f>
        <v>0</v>
      </c>
      <c r="F13" s="257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8" t="s">
        <v>1076</v>
      </c>
      <c r="B1" s="3189"/>
      <c r="C1" s="3190"/>
      <c r="D1" s="3191">
        <f>SUM(I10,I15,I20,I21,I23)</f>
        <v>0</v>
      </c>
      <c r="E1" s="3191"/>
      <c r="F1" s="3191"/>
      <c r="G1" s="3191"/>
      <c r="H1" s="3191"/>
      <c r="I1" s="3192"/>
    </row>
    <row r="2" spans="1:9">
      <c r="A2" s="3193" t="s">
        <v>1077</v>
      </c>
      <c r="B2" s="3194" t="s">
        <v>1078</v>
      </c>
      <c r="C2" s="3194"/>
      <c r="D2" s="1303" t="s">
        <v>1079</v>
      </c>
      <c r="E2" s="1303" t="s">
        <v>1080</v>
      </c>
      <c r="F2" s="1303" t="s">
        <v>1081</v>
      </c>
      <c r="G2" s="1303" t="s">
        <v>1082</v>
      </c>
      <c r="H2" s="1303" t="s">
        <v>1083</v>
      </c>
      <c r="I2" s="1304" t="s">
        <v>1084</v>
      </c>
    </row>
    <row r="3" spans="1:9">
      <c r="A3" s="3193"/>
      <c r="B3" s="3194" t="s">
        <v>1085</v>
      </c>
      <c r="C3" s="3194"/>
      <c r="D3" s="1305"/>
      <c r="E3" s="1303"/>
      <c r="F3" s="1306"/>
      <c r="G3" s="1306"/>
      <c r="H3" s="1307"/>
      <c r="I3" s="1308">
        <f>ROUND(D3*E3*F3*G3*H3/10000,0)</f>
        <v>0</v>
      </c>
    </row>
    <row r="4" spans="1:9">
      <c r="A4" s="3193"/>
      <c r="B4" s="3194" t="s">
        <v>1086</v>
      </c>
      <c r="C4" s="3194"/>
      <c r="D4" s="1305"/>
      <c r="E4" s="1303"/>
      <c r="F4" s="1306"/>
      <c r="G4" s="1306"/>
      <c r="H4" s="1307"/>
      <c r="I4" s="1308">
        <f t="shared" ref="I4:I9" si="0">ROUND(D4*E4*F4*G4*H4/10000,0)</f>
        <v>0</v>
      </c>
    </row>
    <row r="5" spans="1:9">
      <c r="A5" s="3193"/>
      <c r="B5" s="3194" t="s">
        <v>1087</v>
      </c>
      <c r="C5" s="3194"/>
      <c r="D5" s="1305"/>
      <c r="E5" s="1303"/>
      <c r="F5" s="1306"/>
      <c r="G5" s="1306"/>
      <c r="H5" s="1307"/>
      <c r="I5" s="1308">
        <f t="shared" si="0"/>
        <v>0</v>
      </c>
    </row>
    <row r="6" spans="1:9">
      <c r="A6" s="3193"/>
      <c r="B6" s="3194" t="s">
        <v>1088</v>
      </c>
      <c r="C6" s="3194"/>
      <c r="D6" s="1305"/>
      <c r="E6" s="1303"/>
      <c r="F6" s="1306"/>
      <c r="G6" s="1306"/>
      <c r="H6" s="1307"/>
      <c r="I6" s="1308">
        <f t="shared" si="0"/>
        <v>0</v>
      </c>
    </row>
    <row r="7" spans="1:9">
      <c r="A7" s="3193"/>
      <c r="B7" s="3194" t="s">
        <v>1089</v>
      </c>
      <c r="C7" s="3194"/>
      <c r="D7" s="1305"/>
      <c r="E7" s="1303"/>
      <c r="F7" s="1306"/>
      <c r="G7" s="1306"/>
      <c r="H7" s="1307"/>
      <c r="I7" s="1308">
        <f t="shared" si="0"/>
        <v>0</v>
      </c>
    </row>
    <row r="8" spans="1:9">
      <c r="A8" s="3193"/>
      <c r="B8" s="3194" t="s">
        <v>1090</v>
      </c>
      <c r="C8" s="3194"/>
      <c r="D8" s="1305"/>
      <c r="E8" s="1303"/>
      <c r="F8" s="1306"/>
      <c r="G8" s="1306"/>
      <c r="H8" s="1307"/>
      <c r="I8" s="1308">
        <f t="shared" si="0"/>
        <v>0</v>
      </c>
    </row>
    <row r="9" spans="1:9">
      <c r="A9" s="3193"/>
      <c r="B9" s="3194" t="s">
        <v>1091</v>
      </c>
      <c r="C9" s="3194"/>
      <c r="D9" s="1305"/>
      <c r="E9" s="1303"/>
      <c r="F9" s="1306"/>
      <c r="G9" s="1306"/>
      <c r="H9" s="1307"/>
      <c r="I9" s="1308">
        <f t="shared" si="0"/>
        <v>0</v>
      </c>
    </row>
    <row r="10" spans="1:9">
      <c r="A10" s="3193"/>
      <c r="B10" s="3195" t="s">
        <v>1092</v>
      </c>
      <c r="C10" s="3195"/>
      <c r="D10" s="1309"/>
      <c r="E10" s="1309" t="e">
        <f>ROUND(D1*10000/D10/H9,0)</f>
        <v>#DIV/0!</v>
      </c>
      <c r="F10" s="1310"/>
      <c r="G10" s="1310"/>
      <c r="H10" s="1311"/>
      <c r="I10" s="1312">
        <f>SUM(I3:I9)</f>
        <v>0</v>
      </c>
    </row>
    <row r="11" spans="1:9" ht="14.25">
      <c r="A11" s="3193" t="s">
        <v>1093</v>
      </c>
      <c r="B11" s="3194" t="s">
        <v>1094</v>
      </c>
      <c r="C11" s="3194"/>
      <c r="D11" s="1305" t="s">
        <v>1095</v>
      </c>
      <c r="E11" s="1305" t="s">
        <v>1096</v>
      </c>
      <c r="F11" s="1306" t="s">
        <v>1097</v>
      </c>
      <c r="G11" s="1306" t="s">
        <v>1083</v>
      </c>
      <c r="H11" s="1313" t="s">
        <v>1098</v>
      </c>
      <c r="I11" s="1304" t="s">
        <v>1084</v>
      </c>
    </row>
    <row r="12" spans="1:9">
      <c r="A12" s="3193"/>
      <c r="B12" s="3194" t="s">
        <v>1099</v>
      </c>
      <c r="C12" s="3194"/>
      <c r="D12" s="1305"/>
      <c r="E12" s="1305"/>
      <c r="F12" s="1306"/>
      <c r="G12" s="1307"/>
      <c r="H12" s="1314"/>
      <c r="I12" s="1304">
        <f>ROUND(D12*E12*F12*G12/10000,0)</f>
        <v>0</v>
      </c>
    </row>
    <row r="13" spans="1:9">
      <c r="A13" s="3193"/>
      <c r="B13" s="3194" t="s">
        <v>1100</v>
      </c>
      <c r="C13" s="3194"/>
      <c r="D13" s="1305"/>
      <c r="E13" s="1305"/>
      <c r="F13" s="1306"/>
      <c r="G13" s="1307"/>
      <c r="H13" s="1314"/>
      <c r="I13" s="1304">
        <f>ROUND(D13*E13*F13*G13/10000,0)</f>
        <v>0</v>
      </c>
    </row>
    <row r="14" spans="1:9">
      <c r="A14" s="3193"/>
      <c r="B14" s="3194" t="s">
        <v>1101</v>
      </c>
      <c r="C14" s="3194"/>
      <c r="D14" s="1305"/>
      <c r="E14" s="1305"/>
      <c r="F14" s="1306"/>
      <c r="G14" s="1307"/>
      <c r="H14" s="1314"/>
      <c r="I14" s="1304">
        <f>ROUND(D14*E14*F14*G14/10000,0)</f>
        <v>0</v>
      </c>
    </row>
    <row r="15" spans="1:9">
      <c r="A15" s="3193"/>
      <c r="B15" s="3195" t="s">
        <v>1092</v>
      </c>
      <c r="C15" s="3195"/>
      <c r="D15" s="1309"/>
      <c r="E15" s="1309">
        <f>SUM(E12:E14)</f>
        <v>0</v>
      </c>
      <c r="F15" s="1310"/>
      <c r="G15" s="1307"/>
      <c r="H15" s="1314"/>
      <c r="I15" s="1315">
        <f>SUM(I12:I14)</f>
        <v>0</v>
      </c>
    </row>
    <row r="16" spans="1:9" ht="24">
      <c r="A16" s="3193" t="s">
        <v>1102</v>
      </c>
      <c r="B16" s="3194" t="s">
        <v>1103</v>
      </c>
      <c r="C16" s="3194"/>
      <c r="D16" s="1305" t="s">
        <v>1079</v>
      </c>
      <c r="E16" s="1316" t="s">
        <v>1104</v>
      </c>
      <c r="F16" s="1306" t="s">
        <v>1105</v>
      </c>
      <c r="G16" s="1307" t="s">
        <v>1083</v>
      </c>
      <c r="H16" s="1313" t="s">
        <v>1098</v>
      </c>
      <c r="I16" s="1304" t="s">
        <v>1084</v>
      </c>
    </row>
    <row r="17" spans="1:9" ht="14.25">
      <c r="A17" s="3193"/>
      <c r="B17" s="3194" t="s">
        <v>1106</v>
      </c>
      <c r="C17" s="3194"/>
      <c r="D17" s="1305"/>
      <c r="E17" s="1305"/>
      <c r="F17" s="1306"/>
      <c r="G17" s="1307"/>
      <c r="H17" s="1317"/>
      <c r="I17" s="1318">
        <f>ROUND(D17*E17*F17*G17/10000,0)</f>
        <v>0</v>
      </c>
    </row>
    <row r="18" spans="1:9" ht="14.25">
      <c r="A18" s="3193"/>
      <c r="B18" s="3194" t="s">
        <v>1107</v>
      </c>
      <c r="C18" s="3194"/>
      <c r="D18" s="1305"/>
      <c r="E18" s="1305"/>
      <c r="F18" s="1306"/>
      <c r="G18" s="1307"/>
      <c r="H18" s="1317"/>
      <c r="I18" s="1318">
        <f>ROUND(D18*E18*F18*G18/10000,0)</f>
        <v>0</v>
      </c>
    </row>
    <row r="19" spans="1:9" ht="14.25">
      <c r="A19" s="3193"/>
      <c r="B19" s="3194" t="s">
        <v>1108</v>
      </c>
      <c r="C19" s="3194"/>
      <c r="D19" s="1305"/>
      <c r="E19" s="1305"/>
      <c r="F19" s="1306"/>
      <c r="G19" s="1307"/>
      <c r="H19" s="1317"/>
      <c r="I19" s="1318">
        <f>ROUND(D19*E19*F19*G19/10000,0)</f>
        <v>0</v>
      </c>
    </row>
    <row r="20" spans="1:9">
      <c r="A20" s="3193"/>
      <c r="B20" s="3195" t="s">
        <v>1092</v>
      </c>
      <c r="C20" s="3195"/>
      <c r="D20" s="1309">
        <f>SUM(D17:D19)</f>
        <v>0</v>
      </c>
      <c r="E20" s="1309"/>
      <c r="F20" s="1310"/>
      <c r="G20" s="1307"/>
      <c r="H20" s="1314"/>
      <c r="I20" s="1315">
        <f>SUM(I17:I19)</f>
        <v>0</v>
      </c>
    </row>
    <row r="21" spans="1:9">
      <c r="A21" s="3193" t="s">
        <v>1109</v>
      </c>
      <c r="B21" s="3197"/>
      <c r="C21" s="3197"/>
      <c r="D21" s="3197"/>
      <c r="E21" s="3197"/>
      <c r="F21" s="3197"/>
      <c r="G21" s="3197"/>
      <c r="H21" s="1768">
        <v>0.1</v>
      </c>
      <c r="I21" s="1312">
        <f>ROUND(I10*H21,0)</f>
        <v>0</v>
      </c>
    </row>
    <row r="22" spans="1:9" ht="14.25">
      <c r="A22" s="3198" t="s">
        <v>1110</v>
      </c>
      <c r="B22" s="3199"/>
      <c r="C22" s="3200"/>
      <c r="D22" s="1319" t="s">
        <v>1111</v>
      </c>
      <c r="E22" s="1319" t="s">
        <v>1112</v>
      </c>
      <c r="F22" s="1320" t="s">
        <v>1113</v>
      </c>
      <c r="G22" s="1320" t="s">
        <v>1114</v>
      </c>
      <c r="H22" s="1313" t="s">
        <v>1115</v>
      </c>
      <c r="I22" s="1304" t="s">
        <v>1116</v>
      </c>
    </row>
    <row r="23" spans="1:9" ht="14.25" thickBot="1">
      <c r="A23" s="3201"/>
      <c r="B23" s="3202"/>
      <c r="C23" s="3203"/>
      <c r="D23" s="1321"/>
      <c r="E23" s="1321"/>
      <c r="F23" s="1321"/>
      <c r="G23" s="1322"/>
      <c r="H23" s="1323"/>
      <c r="I23" s="1324">
        <f>ROUND(E23*D23*F23*(1-G23)/10000,0)</f>
        <v>0</v>
      </c>
    </row>
    <row r="26" spans="1:9">
      <c r="A26" s="1325" t="s">
        <v>1117</v>
      </c>
      <c r="B26" s="1325"/>
      <c r="C26" s="1325"/>
      <c r="D26" s="1325"/>
      <c r="E26" s="3204">
        <f>C27-C30-C31-C32</f>
        <v>0</v>
      </c>
      <c r="F26" s="3204"/>
      <c r="G26" s="3204"/>
      <c r="H26" s="1740" t="s">
        <v>1341</v>
      </c>
    </row>
    <row r="27" spans="1:9">
      <c r="A27" s="1326">
        <v>1</v>
      </c>
      <c r="B27" s="1327" t="s">
        <v>1118</v>
      </c>
      <c r="C27" s="1327">
        <f>C28+C29</f>
        <v>0</v>
      </c>
      <c r="D27" s="1327"/>
      <c r="E27" s="3205"/>
      <c r="F27" s="3205"/>
      <c r="G27" s="3205"/>
    </row>
    <row r="28" spans="1:9">
      <c r="A28" s="1328" t="s">
        <v>1119</v>
      </c>
      <c r="B28" s="1327" t="s">
        <v>1120</v>
      </c>
      <c r="C28" s="1327"/>
      <c r="D28" s="1327"/>
      <c r="E28" s="3205"/>
      <c r="F28" s="3205"/>
      <c r="G28" s="320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6"/>
      <c r="F32" s="3196"/>
      <c r="G32" s="3196"/>
    </row>
    <row r="33" spans="1:7" hidden="1">
      <c r="A33" s="3206" t="s">
        <v>1129</v>
      </c>
      <c r="B33" s="3207"/>
      <c r="C33" s="3207"/>
      <c r="D33" s="3208"/>
      <c r="E33" s="3204"/>
      <c r="F33" s="3204"/>
      <c r="G33" s="3204"/>
    </row>
    <row r="34" spans="1:7" hidden="1">
      <c r="A34" s="1330">
        <v>1</v>
      </c>
      <c r="B34" s="1327" t="s">
        <v>1130</v>
      </c>
      <c r="C34" s="1327"/>
      <c r="D34" s="1327"/>
      <c r="E34" s="3205"/>
      <c r="F34" s="3205"/>
      <c r="G34" s="3205"/>
    </row>
    <row r="35" spans="1:7" hidden="1">
      <c r="A35" s="1330">
        <v>2</v>
      </c>
      <c r="B35" s="1327" t="s">
        <v>1131</v>
      </c>
      <c r="C35" s="1327"/>
      <c r="D35" s="1327"/>
      <c r="E35" s="3205"/>
      <c r="F35" s="3205"/>
      <c r="G35" s="3205"/>
    </row>
    <row r="36" spans="1:7" hidden="1">
      <c r="A36" s="1330">
        <v>3</v>
      </c>
      <c r="B36" s="1327" t="s">
        <v>1132</v>
      </c>
      <c r="C36" s="1327"/>
      <c r="D36" s="1327"/>
      <c r="E36" s="3205"/>
      <c r="F36" s="3205"/>
      <c r="G36" s="3205"/>
    </row>
    <row r="37" spans="1:7" hidden="1">
      <c r="A37" s="1330">
        <v>4</v>
      </c>
      <c r="B37" s="1327" t="s">
        <v>1133</v>
      </c>
      <c r="C37" s="1327"/>
      <c r="D37" s="1327"/>
      <c r="E37" s="3205"/>
      <c r="F37" s="3205"/>
      <c r="G37" s="3205"/>
    </row>
    <row r="38" spans="1:7" hidden="1">
      <c r="A38" s="3206" t="s">
        <v>1134</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2" t="s">
        <v>2642</v>
      </c>
      <c r="C1" s="1637" t="s">
        <v>2530</v>
      </c>
      <c r="D1" s="1624"/>
      <c r="E1" s="2657"/>
      <c r="F1" s="2584"/>
      <c r="G1" s="1634" t="s">
        <v>2643</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2327</v>
      </c>
      <c r="B2" s="1420" t="e">
        <f ca="1">IF(C2="——",ROUND(C49*D3/10000,0),ROUND(C49*D3/10000,0)-D2)</f>
        <v>#DIV/0!</v>
      </c>
      <c r="C2" s="2586"/>
      <c r="D2" s="1367" t="e">
        <f ca="1">SUMIF(INDIRECT("'"&amp;F2&amp;"'"&amp;"!A:A"),"承租人权益价值",INDIRECT("'"&amp;F2&amp;"'"&amp;"!c:c"))</f>
        <v>#REF!</v>
      </c>
      <c r="E2" s="2587" t="s">
        <v>2328</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2329</v>
      </c>
      <c r="B3" s="609" t="e">
        <f ca="1">IF(C2="——",C49,ROUND(B2*10000/D3,0))</f>
        <v>#DIV/0!</v>
      </c>
      <c r="C3" s="400" t="s">
        <v>2644</v>
      </c>
      <c r="D3" s="399">
        <f>IF(D1="",'数据-汇总表'!E3,SUMIF('数据-汇总表'!$C19:$C33,D1,'数据-汇总表'!$E19:$E33))</f>
        <v>1141.77</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2645</v>
      </c>
      <c r="B4" s="402"/>
      <c r="C4" s="3154" t="s">
        <v>2646</v>
      </c>
      <c r="D4" s="3155"/>
      <c r="E4" s="3156" t="s">
        <v>2647</v>
      </c>
      <c r="F4" s="3157"/>
      <c r="G4" s="3154" t="s">
        <v>2648</v>
      </c>
      <c r="H4" s="3155"/>
      <c r="I4" s="3154" t="s">
        <v>2649</v>
      </c>
      <c r="J4" s="3155"/>
      <c r="K4" s="610" t="s">
        <v>2650</v>
      </c>
      <c r="L4" s="1132"/>
      <c r="M4" s="1133"/>
      <c r="N4" s="1133"/>
      <c r="O4" s="1133"/>
      <c r="P4" s="3158" t="s">
        <v>2651</v>
      </c>
      <c r="Q4" s="3159"/>
      <c r="R4" s="3141" t="s">
        <v>2647</v>
      </c>
      <c r="S4" s="3142"/>
      <c r="T4" s="3141" t="s">
        <v>2648</v>
      </c>
      <c r="U4" s="3142"/>
      <c r="V4" s="3166" t="s">
        <v>2649</v>
      </c>
      <c r="W4" s="3166"/>
      <c r="X4" s="1816"/>
      <c r="Y4" s="3141" t="s">
        <v>2651</v>
      </c>
      <c r="Z4" s="3142"/>
      <c r="AA4" s="3136" t="s">
        <v>2647</v>
      </c>
      <c r="AB4" s="3166" t="s">
        <v>2648</v>
      </c>
      <c r="AC4" s="3136" t="s">
        <v>2649</v>
      </c>
    </row>
    <row r="5" spans="1:29" ht="15">
      <c r="A5" s="404"/>
      <c r="B5" s="405"/>
      <c r="C5" s="3147" t="s">
        <v>2542</v>
      </c>
      <c r="D5" s="3148"/>
      <c r="E5" s="3145" t="s">
        <v>2543</v>
      </c>
      <c r="F5" s="3146"/>
      <c r="G5" s="3147" t="s">
        <v>2544</v>
      </c>
      <c r="H5" s="3148"/>
      <c r="I5" s="3147" t="s">
        <v>2545</v>
      </c>
      <c r="J5" s="3148"/>
      <c r="K5" s="610"/>
      <c r="L5" s="1132"/>
      <c r="M5" s="1133"/>
      <c r="N5" s="1133"/>
      <c r="O5" s="1133"/>
      <c r="P5" s="3160"/>
      <c r="Q5" s="3161"/>
      <c r="R5" s="3143"/>
      <c r="S5" s="3144"/>
      <c r="T5" s="3143"/>
      <c r="U5" s="3144"/>
      <c r="V5" s="3166"/>
      <c r="W5" s="3166"/>
      <c r="X5" s="1816"/>
      <c r="Y5" s="3143"/>
      <c r="Z5" s="3144"/>
      <c r="AA5" s="3137"/>
      <c r="AB5" s="3166"/>
      <c r="AC5" s="3137"/>
    </row>
    <row r="6" spans="1:29" ht="15.75" thickBot="1">
      <c r="A6" s="406"/>
      <c r="B6" s="407"/>
      <c r="C6" s="3149" t="s">
        <v>2546</v>
      </c>
      <c r="D6" s="3150"/>
      <c r="E6" s="3151" t="s">
        <v>2546</v>
      </c>
      <c r="F6" s="3152"/>
      <c r="G6" s="3149" t="s">
        <v>2546</v>
      </c>
      <c r="H6" s="3150"/>
      <c r="I6" s="3149" t="s">
        <v>2546</v>
      </c>
      <c r="J6" s="3150"/>
      <c r="K6" s="610" t="s">
        <v>2547</v>
      </c>
      <c r="L6" s="1132"/>
      <c r="M6" s="1133"/>
      <c r="N6" s="1133"/>
      <c r="O6" s="1133"/>
      <c r="P6" s="3162"/>
      <c r="Q6" s="3163"/>
      <c r="R6" s="3143"/>
      <c r="S6" s="3144"/>
      <c r="T6" s="3164"/>
      <c r="U6" s="3165"/>
      <c r="V6" s="3166"/>
      <c r="W6" s="3166"/>
      <c r="X6" s="1816"/>
      <c r="Y6" s="3164"/>
      <c r="Z6" s="3165"/>
      <c r="AA6" s="3138"/>
      <c r="AB6" s="3166"/>
      <c r="AC6" s="3138"/>
    </row>
    <row r="7" spans="1:29" s="117" customFormat="1" ht="15.75" thickBot="1">
      <c r="A7" s="408" t="s">
        <v>2548</v>
      </c>
      <c r="B7" s="409"/>
      <c r="C7" s="410">
        <f>'数据-取费表'!B2</f>
        <v>43102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39" t="s">
        <v>2549</v>
      </c>
      <c r="Q7" s="3167"/>
      <c r="R7" s="770" t="s">
        <v>17</v>
      </c>
      <c r="S7" s="771">
        <f t="shared" ref="S7:S15" si="0">F7</f>
        <v>0</v>
      </c>
      <c r="T7" s="770" t="s">
        <v>17</v>
      </c>
      <c r="U7" s="771">
        <f t="shared" ref="U7:U15" si="1">H7</f>
        <v>0</v>
      </c>
      <c r="V7" s="770" t="s">
        <v>17</v>
      </c>
      <c r="W7" s="771">
        <f t="shared" ref="W7:W15" si="2">J7</f>
        <v>0</v>
      </c>
      <c r="X7" s="772"/>
      <c r="Y7" s="3139" t="s">
        <v>2549</v>
      </c>
      <c r="Z7" s="3140"/>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39" t="s">
        <v>2552</v>
      </c>
      <c r="Q8" s="3140"/>
      <c r="R8" s="770" t="s">
        <v>17</v>
      </c>
      <c r="S8" s="771">
        <f t="shared" si="0"/>
        <v>0</v>
      </c>
      <c r="T8" s="770" t="s">
        <v>17</v>
      </c>
      <c r="U8" s="771">
        <f t="shared" si="1"/>
        <v>0</v>
      </c>
      <c r="V8" s="770" t="s">
        <v>17</v>
      </c>
      <c r="W8" s="771">
        <f t="shared" si="2"/>
        <v>0</v>
      </c>
      <c r="X8" s="772"/>
      <c r="Y8" s="3139" t="s">
        <v>2552</v>
      </c>
      <c r="Z8" s="3140"/>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53" t="s">
        <v>2555</v>
      </c>
      <c r="Q9" s="1798" t="str">
        <f t="shared" ref="Q9:Q15" si="6">B9</f>
        <v>用途</v>
      </c>
      <c r="R9" s="770" t="s">
        <v>17</v>
      </c>
      <c r="S9" s="771">
        <f t="shared" si="0"/>
        <v>100</v>
      </c>
      <c r="T9" s="770" t="s">
        <v>17</v>
      </c>
      <c r="U9" s="771">
        <f t="shared" si="1"/>
        <v>100</v>
      </c>
      <c r="V9" s="770" t="s">
        <v>17</v>
      </c>
      <c r="W9" s="771">
        <f t="shared" si="2"/>
        <v>100</v>
      </c>
      <c r="X9" s="772"/>
      <c r="Y9" s="301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53"/>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53"/>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53"/>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53"/>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53"/>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71.25">
      <c r="A15" s="440" t="s">
        <v>2559</v>
      </c>
      <c r="B15" s="69" t="s">
        <v>2653</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80" t="s">
        <v>2560</v>
      </c>
      <c r="Q15" s="1813" t="str">
        <f t="shared" si="6"/>
        <v>商业繁华度</v>
      </c>
      <c r="R15" s="774" t="s">
        <v>17</v>
      </c>
      <c r="S15" s="775">
        <f t="shared" si="0"/>
        <v>100</v>
      </c>
      <c r="T15" s="774" t="s">
        <v>17</v>
      </c>
      <c r="U15" s="775">
        <f t="shared" si="1"/>
        <v>100</v>
      </c>
      <c r="V15" s="774" t="s">
        <v>17</v>
      </c>
      <c r="W15" s="775">
        <f t="shared" si="2"/>
        <v>100</v>
      </c>
      <c r="X15" s="1816"/>
      <c r="Y15" s="3173"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181"/>
      <c r="Q16" s="1813"/>
      <c r="R16" s="774"/>
      <c r="S16" s="775"/>
      <c r="T16" s="774"/>
      <c r="U16" s="775"/>
      <c r="V16" s="774"/>
      <c r="W16" s="775"/>
      <c r="X16" s="1816"/>
      <c r="Y16" s="3174"/>
      <c r="Z16" s="1817"/>
      <c r="AA16" s="1814">
        <v>1</v>
      </c>
      <c r="AB16" s="1814">
        <v>1</v>
      </c>
      <c r="AC16" s="1814">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2"/>
      <c r="M18" s="1133"/>
      <c r="N18" s="1133"/>
      <c r="O18" s="1133"/>
      <c r="P18" s="3181"/>
      <c r="Q18" s="1813"/>
      <c r="R18" s="774"/>
      <c r="S18" s="775"/>
      <c r="T18" s="774"/>
      <c r="U18" s="775"/>
      <c r="V18" s="774"/>
      <c r="W18" s="775"/>
      <c r="X18" s="1816"/>
      <c r="Y18" s="3174"/>
      <c r="Z18" s="1817"/>
      <c r="AA18" s="1814">
        <v>1</v>
      </c>
      <c r="AB18" s="1814">
        <v>1</v>
      </c>
      <c r="AC18" s="1814">
        <v>1</v>
      </c>
    </row>
    <row r="19" spans="1:29" ht="42.75">
      <c r="A19" s="428"/>
      <c r="B19" s="451" t="s">
        <v>2654</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2"/>
      <c r="M20" s="1133"/>
      <c r="N20" s="1133"/>
      <c r="O20" s="1133"/>
      <c r="P20" s="3181"/>
      <c r="Q20" s="1813"/>
      <c r="R20" s="774"/>
      <c r="S20" s="775"/>
      <c r="T20" s="774"/>
      <c r="U20" s="775"/>
      <c r="V20" s="774"/>
      <c r="W20" s="775"/>
      <c r="X20" s="1816"/>
      <c r="Y20" s="3174"/>
      <c r="Z20" s="1817"/>
      <c r="AA20" s="1814">
        <v>1</v>
      </c>
      <c r="AB20" s="1814">
        <v>1</v>
      </c>
      <c r="AC20" s="1814">
        <v>1</v>
      </c>
    </row>
    <row r="21" spans="1:29" ht="28.5">
      <c r="A21" s="428"/>
      <c r="B21" s="1386" t="s">
        <v>2655</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6"/>
      <c r="C22" s="2608"/>
      <c r="D22" s="448"/>
      <c r="E22" s="447"/>
      <c r="F22" s="449"/>
      <c r="G22" s="447"/>
      <c r="H22" s="448"/>
      <c r="I22" s="447"/>
      <c r="J22" s="448"/>
      <c r="K22" s="1385"/>
      <c r="L22" s="1142"/>
      <c r="M22" s="1133"/>
      <c r="N22" s="1133"/>
      <c r="O22" s="1133"/>
      <c r="P22" s="3181"/>
      <c r="Q22" s="1813"/>
      <c r="R22" s="774"/>
      <c r="S22" s="775"/>
      <c r="T22" s="774"/>
      <c r="U22" s="775"/>
      <c r="V22" s="774"/>
      <c r="W22" s="775"/>
      <c r="X22" s="1816"/>
      <c r="Y22" s="3174"/>
      <c r="Z22" s="1817"/>
      <c r="AA22" s="1814">
        <v>1</v>
      </c>
      <c r="AB22" s="1814">
        <v>1</v>
      </c>
      <c r="AC22" s="1814">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81"/>
      <c r="Q23" s="1813" t="str">
        <f>B23</f>
        <v>自然及人文环境</v>
      </c>
      <c r="R23" s="774" t="s">
        <v>17</v>
      </c>
      <c r="S23" s="775">
        <f>F23</f>
        <v>100</v>
      </c>
      <c r="T23" s="774" t="s">
        <v>17</v>
      </c>
      <c r="U23" s="775">
        <f>H23</f>
        <v>100</v>
      </c>
      <c r="V23" s="774" t="s">
        <v>17</v>
      </c>
      <c r="W23" s="775">
        <f>J23</f>
        <v>100</v>
      </c>
      <c r="X23" s="1816"/>
      <c r="Y23" s="3174"/>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2"/>
      <c r="M24" s="1133"/>
      <c r="N24" s="1133"/>
      <c r="O24" s="1133"/>
      <c r="P24" s="3181"/>
      <c r="Q24" s="1813"/>
      <c r="R24" s="774"/>
      <c r="S24" s="775"/>
      <c r="T24" s="774"/>
      <c r="U24" s="775"/>
      <c r="V24" s="774"/>
      <c r="W24" s="775"/>
      <c r="X24" s="1816"/>
      <c r="Y24" s="3174"/>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81"/>
      <c r="Q25" s="1813" t="str">
        <f t="shared" ref="Q25:Q46" si="11">B25</f>
        <v>临街状况</v>
      </c>
      <c r="R25" s="774" t="s">
        <v>17</v>
      </c>
      <c r="S25" s="775">
        <f>F25</f>
        <v>100</v>
      </c>
      <c r="T25" s="774" t="s">
        <v>17</v>
      </c>
      <c r="U25" s="775">
        <f>H25</f>
        <v>100</v>
      </c>
      <c r="V25" s="774" t="s">
        <v>17</v>
      </c>
      <c r="W25" s="775">
        <f>J25</f>
        <v>100</v>
      </c>
      <c r="X25" s="1816"/>
      <c r="Y25" s="3174"/>
      <c r="Z25" s="1817" t="str">
        <f>Q25</f>
        <v>临街状况</v>
      </c>
      <c r="AA25" s="1814">
        <f t="shared" si="3"/>
        <v>1</v>
      </c>
      <c r="AB25" s="1814">
        <f t="shared" si="4"/>
        <v>1</v>
      </c>
      <c r="AC25" s="1814">
        <f t="shared" si="5"/>
        <v>1</v>
      </c>
    </row>
    <row r="26" spans="1:29" ht="15">
      <c r="A26" s="428"/>
      <c r="B26" s="1388" t="s">
        <v>2657</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81"/>
      <c r="Q26" s="1813" t="str">
        <f t="shared" si="11"/>
        <v>平面位置/可视性</v>
      </c>
      <c r="R26" s="774" t="s">
        <v>17</v>
      </c>
      <c r="S26" s="775">
        <f>F26</f>
        <v>100</v>
      </c>
      <c r="T26" s="774" t="s">
        <v>17</v>
      </c>
      <c r="U26" s="775">
        <f>H26</f>
        <v>100</v>
      </c>
      <c r="V26" s="774" t="s">
        <v>17</v>
      </c>
      <c r="W26" s="775">
        <f>J26</f>
        <v>100</v>
      </c>
      <c r="X26" s="1816"/>
      <c r="Y26" s="3174"/>
      <c r="Z26" s="1817" t="str">
        <f>Q26</f>
        <v>平面位置/可视性</v>
      </c>
      <c r="AA26" s="1814">
        <f t="shared" si="3"/>
        <v>1</v>
      </c>
      <c r="AB26" s="1814">
        <f t="shared" si="4"/>
        <v>1</v>
      </c>
      <c r="AC26" s="1814">
        <f t="shared" si="5"/>
        <v>1</v>
      </c>
    </row>
    <row r="27" spans="1:29" s="117" customFormat="1" ht="15">
      <c r="A27" s="431"/>
      <c r="B27" s="451" t="s">
        <v>2658</v>
      </c>
      <c r="C27" s="2665"/>
      <c r="D27" s="462">
        <v>100</v>
      </c>
      <c r="E27" s="2665"/>
      <c r="F27" s="464">
        <f>SUMIF(90:90,E27,91:91)-SUMIF(90:90,C27,91:91)+100</f>
        <v>100</v>
      </c>
      <c r="G27" s="2665"/>
      <c r="H27" s="462">
        <f>SUMIF(90:90,G27,91:91)-SUMIF(90:90,C27,91:91)+100</f>
        <v>100</v>
      </c>
      <c r="I27" s="2665"/>
      <c r="J27" s="462">
        <f>SUMIF(90:90,I27,91:91)-SUMIF(90:90,C27,91:91)+100</f>
        <v>100</v>
      </c>
      <c r="K27" s="612"/>
      <c r="L27" s="1134"/>
      <c r="M27" s="1135"/>
      <c r="N27" s="1135"/>
      <c r="O27" s="1135"/>
      <c r="P27" s="3181"/>
      <c r="Q27" s="1798" t="str">
        <f t="shared" si="11"/>
        <v>人流量</v>
      </c>
      <c r="R27" s="770" t="s">
        <v>17</v>
      </c>
      <c r="S27" s="771">
        <f>F27</f>
        <v>100</v>
      </c>
      <c r="T27" s="770" t="s">
        <v>17</v>
      </c>
      <c r="U27" s="771">
        <f>H27</f>
        <v>100</v>
      </c>
      <c r="V27" s="770" t="s">
        <v>17</v>
      </c>
      <c r="W27" s="771">
        <f>J27</f>
        <v>100</v>
      </c>
      <c r="X27" s="772"/>
      <c r="Y27" s="3174"/>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8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4"/>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81"/>
      <c r="Q29" s="1813">
        <f t="shared" si="11"/>
        <v>111</v>
      </c>
      <c r="R29" s="774" t="s">
        <v>17</v>
      </c>
      <c r="S29" s="775">
        <f t="shared" si="12"/>
        <v>100</v>
      </c>
      <c r="T29" s="774" t="s">
        <v>17</v>
      </c>
      <c r="U29" s="775">
        <f t="shared" si="13"/>
        <v>100</v>
      </c>
      <c r="V29" s="774" t="s">
        <v>17</v>
      </c>
      <c r="W29" s="775">
        <f t="shared" si="14"/>
        <v>100</v>
      </c>
      <c r="X29" s="1816"/>
      <c r="Y29" s="3174"/>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1814">
        <f t="shared" si="5"/>
        <v>1</v>
      </c>
    </row>
    <row r="32" spans="1:29" ht="15">
      <c r="A32" s="440" t="s">
        <v>2563</v>
      </c>
      <c r="B32" s="71" t="s">
        <v>2660</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2"/>
      <c r="M32" s="1133"/>
      <c r="N32" s="1133"/>
      <c r="O32" s="1133"/>
      <c r="P32" s="3175" t="s">
        <v>2565</v>
      </c>
      <c r="Q32" s="1813" t="str">
        <f t="shared" si="11"/>
        <v>商业类型</v>
      </c>
      <c r="R32" s="774" t="s">
        <v>17</v>
      </c>
      <c r="S32" s="775">
        <f t="shared" si="12"/>
        <v>100</v>
      </c>
      <c r="T32" s="774" t="s">
        <v>17</v>
      </c>
      <c r="U32" s="775">
        <f t="shared" si="13"/>
        <v>100</v>
      </c>
      <c r="V32" s="774" t="s">
        <v>17</v>
      </c>
      <c r="W32" s="775">
        <f t="shared" si="14"/>
        <v>100</v>
      </c>
      <c r="X32" s="1816"/>
      <c r="Y32" s="3178"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2567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2"/>
      <c r="M34" s="1133"/>
      <c r="N34" s="1133"/>
      <c r="O34" s="1133"/>
      <c r="P34" s="3176"/>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2661</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2"/>
      <c r="M35" s="1133"/>
      <c r="N35" s="1133"/>
      <c r="O35" s="1133"/>
      <c r="P35" s="3176"/>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76"/>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2663</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4"/>
      <c r="M37" s="1135"/>
      <c r="N37" s="1135"/>
      <c r="O37" s="1135"/>
      <c r="P37" s="3176"/>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2664</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2"/>
      <c r="M38" s="1133"/>
      <c r="N38" s="1133"/>
      <c r="O38" s="1133"/>
      <c r="P38" s="3176" t="s">
        <v>2565</v>
      </c>
      <c r="Q38" s="1813" t="str">
        <f t="shared" si="11"/>
        <v>业态</v>
      </c>
      <c r="R38" s="774" t="s">
        <v>17</v>
      </c>
      <c r="S38" s="775">
        <f t="shared" si="12"/>
        <v>100</v>
      </c>
      <c r="T38" s="774" t="s">
        <v>17</v>
      </c>
      <c r="U38" s="775">
        <f t="shared" si="13"/>
        <v>100</v>
      </c>
      <c r="V38" s="774" t="s">
        <v>17</v>
      </c>
      <c r="W38" s="775">
        <f t="shared" si="14"/>
        <v>100</v>
      </c>
      <c r="X38" s="1816"/>
      <c r="Y38" s="3178" t="s">
        <v>2565</v>
      </c>
      <c r="Z38" s="1817" t="str">
        <f t="shared" si="15"/>
        <v>业态</v>
      </c>
      <c r="AA38" s="1814">
        <f t="shared" si="3"/>
        <v>1</v>
      </c>
      <c r="AB38" s="1814">
        <f t="shared" si="4"/>
        <v>1</v>
      </c>
      <c r="AC38" s="1814">
        <f t="shared" si="5"/>
        <v>1</v>
      </c>
    </row>
    <row r="39" spans="1:29" ht="15">
      <c r="A39" s="472"/>
      <c r="B39" s="422" t="s">
        <v>2665</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176"/>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76"/>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2668</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2"/>
      <c r="M42" s="1133"/>
      <c r="N42" s="1133"/>
      <c r="O42" s="1133"/>
      <c r="P42" s="3176"/>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2576</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2"/>
      <c r="M43" s="1133"/>
      <c r="N43" s="1133"/>
      <c r="O43" s="1133"/>
      <c r="P43" s="3176"/>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76"/>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76"/>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77"/>
      <c r="Q46" s="1813">
        <f t="shared" si="11"/>
        <v>111</v>
      </c>
      <c r="R46" s="774" t="s">
        <v>17</v>
      </c>
      <c r="S46" s="775">
        <f t="shared" si="12"/>
        <v>100</v>
      </c>
      <c r="T46" s="774" t="s">
        <v>17</v>
      </c>
      <c r="U46" s="775">
        <f t="shared" si="13"/>
        <v>100</v>
      </c>
      <c r="V46" s="774" t="s">
        <v>17</v>
      </c>
      <c r="W46" s="775">
        <f t="shared" si="14"/>
        <v>100</v>
      </c>
      <c r="X46" s="1816"/>
      <c r="Y46" s="3179"/>
      <c r="Z46" s="1817">
        <f t="shared" si="15"/>
        <v>111</v>
      </c>
      <c r="AA46" s="1814">
        <f t="shared" si="3"/>
        <v>1</v>
      </c>
      <c r="AB46" s="1814">
        <f t="shared" si="4"/>
        <v>1</v>
      </c>
      <c r="AC46" s="1814">
        <f t="shared" si="5"/>
        <v>1</v>
      </c>
    </row>
    <row r="47" spans="1:29" ht="15">
      <c r="A47" s="479" t="s">
        <v>2577</v>
      </c>
      <c r="B47" s="480"/>
      <c r="C47" s="1409" t="s">
        <v>1</v>
      </c>
      <c r="D47" s="1410"/>
      <c r="E47" s="1411"/>
      <c r="F47" s="1412"/>
      <c r="G47" s="1413"/>
      <c r="H47" s="1414"/>
      <c r="I47" s="1411"/>
      <c r="J47" s="1414"/>
      <c r="K47" s="783"/>
      <c r="L47" s="1145"/>
      <c r="M47" s="1146"/>
      <c r="N47" s="1133"/>
      <c r="O47" s="1146"/>
      <c r="P47" s="3171" t="str">
        <f>A47</f>
        <v>成交单价（元/平方米）</v>
      </c>
      <c r="Q47" s="3171"/>
      <c r="R47" s="3166">
        <f>E47</f>
        <v>0</v>
      </c>
      <c r="S47" s="3166"/>
      <c r="T47" s="3166">
        <f>G47</f>
        <v>0</v>
      </c>
      <c r="U47" s="3166"/>
      <c r="V47" s="3166">
        <f>I47</f>
        <v>0</v>
      </c>
      <c r="W47" s="3166"/>
      <c r="X47" s="759"/>
      <c r="Y47" s="781"/>
      <c r="Z47" s="759"/>
      <c r="AA47" s="759"/>
      <c r="AB47" s="759"/>
      <c r="AC47" s="759"/>
    </row>
    <row r="48" spans="1:29" ht="15.75" thickBot="1">
      <c r="A48" s="486" t="s">
        <v>2669</v>
      </c>
      <c r="B48" s="487"/>
      <c r="C48" s="1415" t="e">
        <f>R49</f>
        <v>#DIV/0!</v>
      </c>
      <c r="D48" s="1416"/>
      <c r="E48" s="1417" t="e">
        <f>R48</f>
        <v>#DIV/0!</v>
      </c>
      <c r="F48" s="1417"/>
      <c r="G48" s="1415" t="e">
        <f>T48</f>
        <v>#DIV/0!</v>
      </c>
      <c r="H48" s="1416"/>
      <c r="I48" s="1417" t="e">
        <f>V48</f>
        <v>#DIV/0!</v>
      </c>
      <c r="J48" s="1416"/>
      <c r="K48" s="784"/>
      <c r="L48" s="1145"/>
      <c r="M48" s="1146"/>
      <c r="N48" s="1133"/>
      <c r="O48" s="1146"/>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2670</v>
      </c>
      <c r="B49" s="493"/>
      <c r="C49" s="1419" t="e">
        <f>R49</f>
        <v>#DIV/0!</v>
      </c>
      <c r="D49" s="1419"/>
      <c r="E49" s="1419"/>
      <c r="F49" s="1419"/>
      <c r="G49" s="1419"/>
      <c r="H49" s="1419"/>
      <c r="I49" s="1419"/>
      <c r="J49" s="1419"/>
      <c r="K49" s="785"/>
      <c r="L49" s="1145"/>
      <c r="M49" s="1146"/>
      <c r="N49" s="1133"/>
      <c r="O49" s="1146"/>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2548</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2550</v>
      </c>
      <c r="B61" s="510"/>
      <c r="C61" s="522" t="s">
        <v>2652</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2588</v>
      </c>
      <c r="B63" s="528" t="s">
        <v>2554</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2655</v>
      </c>
      <c r="C82" s="660" t="s">
        <v>2675</v>
      </c>
      <c r="D82" s="660" t="s">
        <v>2676</v>
      </c>
      <c r="E82" s="660" t="s">
        <v>2677</v>
      </c>
      <c r="F82" s="660" t="s">
        <v>2678</v>
      </c>
      <c r="G82" s="660" t="s">
        <v>2679</v>
      </c>
      <c r="H82" s="539"/>
      <c r="I82" s="539"/>
      <c r="J82" s="539"/>
      <c r="K82" s="539"/>
      <c r="L82" s="539"/>
      <c r="M82" s="1384"/>
      <c r="N82" s="1155"/>
      <c r="O82" s="1155"/>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2680</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3"/>
      <c r="O88" s="1153"/>
      <c r="P88" s="2630"/>
      <c r="Q88" s="504"/>
    </row>
    <row r="89" spans="1:17" s="117" customFormat="1" ht="15.75" thickBot="1">
      <c r="A89" s="579"/>
      <c r="B89" s="543"/>
      <c r="C89" s="560"/>
      <c r="D89" s="536"/>
      <c r="E89" s="536"/>
      <c r="F89" s="536"/>
      <c r="G89" s="536"/>
      <c r="H89" s="536"/>
      <c r="I89" s="536"/>
      <c r="J89" s="536"/>
      <c r="K89" s="536"/>
      <c r="L89" s="536"/>
      <c r="M89" s="536"/>
      <c r="N89" s="1155"/>
      <c r="O89" s="1155"/>
      <c r="P89" s="2630"/>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1"/>
      <c r="Q91" s="559"/>
    </row>
    <row r="92" spans="1:17" ht="15.75" thickTop="1">
      <c r="A92" s="534"/>
      <c r="B92" s="538" t="str">
        <f>B28</f>
        <v>楼层</v>
      </c>
      <c r="C92" s="554"/>
      <c r="D92" s="554"/>
      <c r="E92" s="554"/>
      <c r="F92" s="554"/>
      <c r="G92" s="554"/>
      <c r="H92" s="554"/>
      <c r="I92" s="554"/>
      <c r="J92" s="554"/>
      <c r="K92" s="554"/>
      <c r="L92" s="580"/>
      <c r="M92" s="581"/>
      <c r="N92" s="1154"/>
      <c r="O92" s="1154"/>
      <c r="P92" s="2630"/>
      <c r="Q92" s="504"/>
    </row>
    <row r="93" spans="1:17" ht="15.75" thickBot="1">
      <c r="A93" s="534"/>
      <c r="B93" s="543"/>
      <c r="C93" s="536"/>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2563</v>
      </c>
      <c r="B100" s="528" t="s">
        <v>2681</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0"/>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2614</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2616</v>
      </c>
      <c r="C107" s="554"/>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2618</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2682</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0"/>
      <c r="Q115" s="504"/>
    </row>
    <row r="116" spans="1:17" ht="15" thickTop="1">
      <c r="A116" s="599"/>
      <c r="B116" s="538" t="s">
        <v>2683</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2684</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2685</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2620</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69" t="s">
        <v>2702</v>
      </c>
      <c r="C1" s="1623" t="s">
        <v>2530</v>
      </c>
      <c r="D1" s="1624"/>
      <c r="E1" s="1633"/>
      <c r="F1" s="2584"/>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IF(C2="——",ROUND(C43*D3/10000,0),ROUND(C43*D3/10000,0)-D2)</f>
        <v>#DIV/0!</v>
      </c>
      <c r="C2" s="2586"/>
      <c r="D2" s="1126" t="e">
        <f ca="1">SUMIF(INDIRECT("'"&amp;F2&amp;"'"&amp;"!A:A"),"承租人权益价值",INDIRECT("'"&amp;F2&amp;"'"&amp;"!c:c"))</f>
        <v>#REF!</v>
      </c>
      <c r="E2" s="2587" t="s">
        <v>2328</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1141.77</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54" t="s">
        <v>2646</v>
      </c>
      <c r="D4" s="3155"/>
      <c r="E4" s="3156" t="s">
        <v>2647</v>
      </c>
      <c r="F4" s="3157"/>
      <c r="G4" s="3154" t="s">
        <v>2648</v>
      </c>
      <c r="H4" s="3155"/>
      <c r="I4" s="3154" t="s">
        <v>2649</v>
      </c>
      <c r="J4" s="3155"/>
      <c r="K4" s="610" t="s">
        <v>2650</v>
      </c>
      <c r="L4" s="1132"/>
      <c r="M4" s="1133"/>
      <c r="N4" s="1133"/>
      <c r="O4" s="1133"/>
      <c r="P4" s="3158" t="s">
        <v>2651</v>
      </c>
      <c r="Q4" s="3159"/>
      <c r="R4" s="3141" t="s">
        <v>2647</v>
      </c>
      <c r="S4" s="3142"/>
      <c r="T4" s="3141" t="s">
        <v>2648</v>
      </c>
      <c r="U4" s="3142"/>
      <c r="V4" s="3166" t="s">
        <v>2649</v>
      </c>
      <c r="W4" s="3166"/>
      <c r="X4" s="1816"/>
      <c r="Y4" s="3141" t="s">
        <v>2651</v>
      </c>
      <c r="Z4" s="3142"/>
      <c r="AA4" s="3136" t="s">
        <v>2647</v>
      </c>
      <c r="AB4" s="3137" t="s">
        <v>2648</v>
      </c>
      <c r="AC4" s="3136" t="s">
        <v>2649</v>
      </c>
    </row>
    <row r="5" spans="1:29" ht="15">
      <c r="A5" s="404"/>
      <c r="B5" s="405"/>
      <c r="C5" s="3147" t="s">
        <v>2542</v>
      </c>
      <c r="D5" s="3148"/>
      <c r="E5" s="3145" t="s">
        <v>2543</v>
      </c>
      <c r="F5" s="3146"/>
      <c r="G5" s="3147" t="s">
        <v>2544</v>
      </c>
      <c r="H5" s="3148"/>
      <c r="I5" s="3147" t="s">
        <v>2545</v>
      </c>
      <c r="J5" s="3148"/>
      <c r="K5" s="610"/>
      <c r="L5" s="1132"/>
      <c r="M5" s="1133"/>
      <c r="N5" s="1133"/>
      <c r="O5" s="1133"/>
      <c r="P5" s="3160"/>
      <c r="Q5" s="3161"/>
      <c r="R5" s="3143"/>
      <c r="S5" s="3144"/>
      <c r="T5" s="3143"/>
      <c r="U5" s="3144"/>
      <c r="V5" s="3166"/>
      <c r="W5" s="3166"/>
      <c r="X5" s="1816"/>
      <c r="Y5" s="3143"/>
      <c r="Z5" s="3144"/>
      <c r="AA5" s="3137"/>
      <c r="AB5" s="3137"/>
      <c r="AC5" s="3137"/>
    </row>
    <row r="6" spans="1:29" ht="15.75" thickBot="1">
      <c r="A6" s="406"/>
      <c r="B6" s="407"/>
      <c r="C6" s="3149" t="s">
        <v>2546</v>
      </c>
      <c r="D6" s="3150"/>
      <c r="E6" s="3151" t="s">
        <v>2546</v>
      </c>
      <c r="F6" s="3152"/>
      <c r="G6" s="3149" t="s">
        <v>2546</v>
      </c>
      <c r="H6" s="3150"/>
      <c r="I6" s="3149" t="s">
        <v>2546</v>
      </c>
      <c r="J6" s="3150"/>
      <c r="K6" s="610" t="s">
        <v>2547</v>
      </c>
      <c r="L6" s="1132"/>
      <c r="M6" s="1133"/>
      <c r="N6" s="1133"/>
      <c r="O6" s="1133"/>
      <c r="P6" s="3162"/>
      <c r="Q6" s="3163"/>
      <c r="R6" s="3143"/>
      <c r="S6" s="3144"/>
      <c r="T6" s="3164"/>
      <c r="U6" s="3165"/>
      <c r="V6" s="3166"/>
      <c r="W6" s="3166"/>
      <c r="X6" s="1816"/>
      <c r="Y6" s="3164"/>
      <c r="Z6" s="3165"/>
      <c r="AA6" s="3138"/>
      <c r="AB6" s="3138"/>
      <c r="AC6" s="3138"/>
    </row>
    <row r="7" spans="1:29" s="117" customFormat="1" ht="15.75" thickBot="1">
      <c r="A7" s="408" t="s">
        <v>2548</v>
      </c>
      <c r="B7" s="409"/>
      <c r="C7" s="410">
        <f>'数据-取费表'!B2</f>
        <v>43102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39" t="s">
        <v>2549</v>
      </c>
      <c r="Q7" s="3167"/>
      <c r="R7" s="770" t="s">
        <v>17</v>
      </c>
      <c r="S7" s="771">
        <f t="shared" ref="S7:S15" si="0">F7</f>
        <v>0</v>
      </c>
      <c r="T7" s="770" t="s">
        <v>17</v>
      </c>
      <c r="U7" s="771">
        <f t="shared" ref="U7:U15" si="1">H7</f>
        <v>0</v>
      </c>
      <c r="V7" s="770" t="s">
        <v>17</v>
      </c>
      <c r="W7" s="771">
        <f t="shared" ref="W7:W15" si="2">J7</f>
        <v>0</v>
      </c>
      <c r="X7" s="772"/>
      <c r="Y7" s="3139" t="s">
        <v>2549</v>
      </c>
      <c r="Z7" s="3140"/>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39" t="s">
        <v>2552</v>
      </c>
      <c r="Q8" s="3140"/>
      <c r="R8" s="770" t="s">
        <v>17</v>
      </c>
      <c r="S8" s="771">
        <f t="shared" si="0"/>
        <v>0</v>
      </c>
      <c r="T8" s="770" t="s">
        <v>17</v>
      </c>
      <c r="U8" s="771">
        <f t="shared" si="1"/>
        <v>0</v>
      </c>
      <c r="V8" s="770" t="s">
        <v>17</v>
      </c>
      <c r="W8" s="771">
        <f t="shared" si="2"/>
        <v>0</v>
      </c>
      <c r="X8" s="772"/>
      <c r="Y8" s="3139" t="s">
        <v>2552</v>
      </c>
      <c r="Z8" s="3140"/>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1" t="s">
        <v>2555</v>
      </c>
      <c r="Q9" s="1798" t="str">
        <f t="shared" ref="Q9:Q15" si="6">B9</f>
        <v>用途</v>
      </c>
      <c r="R9" s="770" t="s">
        <v>17</v>
      </c>
      <c r="S9" s="771">
        <f t="shared" si="0"/>
        <v>100</v>
      </c>
      <c r="T9" s="770" t="s">
        <v>17</v>
      </c>
      <c r="U9" s="771">
        <f t="shared" si="1"/>
        <v>100</v>
      </c>
      <c r="V9" s="770" t="s">
        <v>17</v>
      </c>
      <c r="W9" s="771">
        <f t="shared" si="2"/>
        <v>100</v>
      </c>
      <c r="X9" s="772"/>
      <c r="Y9" s="301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1"/>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1"/>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171"/>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171"/>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171"/>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3" t="s">
        <v>2560</v>
      </c>
      <c r="Q15" s="1813" t="str">
        <f t="shared" si="6"/>
        <v>产业集聚程度</v>
      </c>
      <c r="R15" s="774" t="s">
        <v>17</v>
      </c>
      <c r="S15" s="775">
        <f t="shared" si="0"/>
        <v>100</v>
      </c>
      <c r="T15" s="774" t="s">
        <v>17</v>
      </c>
      <c r="U15" s="775">
        <f t="shared" si="1"/>
        <v>100</v>
      </c>
      <c r="V15" s="774" t="s">
        <v>17</v>
      </c>
      <c r="W15" s="775">
        <f t="shared" si="2"/>
        <v>100</v>
      </c>
      <c r="X15" s="1816"/>
      <c r="Y15" s="3173"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74"/>
      <c r="Q16" s="1813"/>
      <c r="R16" s="774"/>
      <c r="S16" s="775"/>
      <c r="T16" s="774"/>
      <c r="U16" s="775"/>
      <c r="V16" s="774"/>
      <c r="W16" s="775"/>
      <c r="X16" s="1816"/>
      <c r="Y16" s="3174"/>
      <c r="Z16" s="1817"/>
      <c r="AA16" s="1814">
        <v>1</v>
      </c>
      <c r="AB16" s="1814">
        <v>1</v>
      </c>
      <c r="AC16" s="1814">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2"/>
      <c r="M18" s="1133"/>
      <c r="N18" s="1133"/>
      <c r="O18" s="1141"/>
      <c r="P18" s="3174"/>
      <c r="Q18" s="1813"/>
      <c r="R18" s="774"/>
      <c r="S18" s="775"/>
      <c r="T18" s="774"/>
      <c r="U18" s="775"/>
      <c r="V18" s="774"/>
      <c r="W18" s="775"/>
      <c r="X18" s="1816"/>
      <c r="Y18" s="3174"/>
      <c r="Z18" s="1817"/>
      <c r="AA18" s="1814">
        <v>1</v>
      </c>
      <c r="AB18" s="1814">
        <v>1</v>
      </c>
      <c r="AC18" s="1814">
        <v>1</v>
      </c>
    </row>
    <row r="19" spans="1:29" ht="42.75">
      <c r="A19" s="428"/>
      <c r="B19" s="451" t="s">
        <v>2688</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4"/>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2"/>
      <c r="M20" s="1133"/>
      <c r="N20" s="1133"/>
      <c r="O20" s="1141"/>
      <c r="P20" s="3174"/>
      <c r="Q20" s="1813"/>
      <c r="R20" s="774"/>
      <c r="S20" s="775"/>
      <c r="T20" s="774"/>
      <c r="U20" s="775"/>
      <c r="V20" s="774"/>
      <c r="W20" s="775"/>
      <c r="X20" s="1816"/>
      <c r="Y20" s="3174"/>
      <c r="Z20" s="1817"/>
      <c r="AA20" s="1814">
        <v>1</v>
      </c>
      <c r="AB20" s="1814">
        <v>1</v>
      </c>
      <c r="AC20" s="1814">
        <v>1</v>
      </c>
    </row>
    <row r="21" spans="1:29" ht="28.5">
      <c r="A21" s="428"/>
      <c r="B21" s="1386" t="s">
        <v>2689</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4"/>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6"/>
      <c r="C22" s="2608"/>
      <c r="D22" s="448"/>
      <c r="E22" s="447"/>
      <c r="F22" s="449"/>
      <c r="G22" s="447"/>
      <c r="H22" s="448"/>
      <c r="I22" s="447"/>
      <c r="J22" s="448"/>
      <c r="K22" s="1385"/>
      <c r="L22" s="1142"/>
      <c r="M22" s="1133"/>
      <c r="N22" s="1133"/>
      <c r="O22" s="1141"/>
      <c r="P22" s="3174"/>
      <c r="Q22" s="1813"/>
      <c r="R22" s="774"/>
      <c r="S22" s="775"/>
      <c r="T22" s="774"/>
      <c r="U22" s="775"/>
      <c r="V22" s="774"/>
      <c r="W22" s="775"/>
      <c r="X22" s="1816"/>
      <c r="Y22" s="3174"/>
      <c r="Z22" s="1817"/>
      <c r="AA22" s="1814">
        <v>1</v>
      </c>
      <c r="AB22" s="1814">
        <v>1</v>
      </c>
      <c r="AC22" s="1814">
        <v>1</v>
      </c>
    </row>
    <row r="23" spans="1:29" ht="71.25">
      <c r="A23" s="428"/>
      <c r="B23" s="451" t="s">
        <v>2690</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4"/>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1814">
        <f t="shared" si="5"/>
        <v>1</v>
      </c>
    </row>
    <row r="24" spans="1:29" ht="15">
      <c r="A24" s="428"/>
      <c r="B24" s="1386"/>
      <c r="C24" s="447"/>
      <c r="D24" s="448"/>
      <c r="E24" s="2605"/>
      <c r="F24" s="449"/>
      <c r="G24" s="2604"/>
      <c r="H24" s="448"/>
      <c r="I24" s="2605"/>
      <c r="J24" s="448"/>
      <c r="K24" s="615"/>
      <c r="L24" s="1142"/>
      <c r="M24" s="1133"/>
      <c r="N24" s="1133"/>
      <c r="O24" s="1141"/>
      <c r="P24" s="3174"/>
      <c r="Q24" s="1813"/>
      <c r="R24" s="774"/>
      <c r="S24" s="775"/>
      <c r="T24" s="774"/>
      <c r="U24" s="775"/>
      <c r="V24" s="774"/>
      <c r="W24" s="775"/>
      <c r="X24" s="1816"/>
      <c r="Y24" s="3174"/>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4"/>
      <c r="Q25" s="1813">
        <f>B25</f>
        <v>111</v>
      </c>
      <c r="R25" s="774" t="s">
        <v>17</v>
      </c>
      <c r="S25" s="775">
        <f>F25</f>
        <v>100</v>
      </c>
      <c r="T25" s="774" t="s">
        <v>17</v>
      </c>
      <c r="U25" s="775">
        <f>H25</f>
        <v>100</v>
      </c>
      <c r="V25" s="774" t="s">
        <v>17</v>
      </c>
      <c r="W25" s="775">
        <f>J25</f>
        <v>100</v>
      </c>
      <c r="X25" s="1816"/>
      <c r="Y25" s="3174"/>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4"/>
      <c r="Q26" s="1813">
        <f t="shared" ref="Q26:Q40" si="11">B26</f>
        <v>111</v>
      </c>
      <c r="R26" s="774" t="s">
        <v>17</v>
      </c>
      <c r="S26" s="775">
        <f>F26</f>
        <v>100</v>
      </c>
      <c r="T26" s="774" t="s">
        <v>17</v>
      </c>
      <c r="U26" s="775">
        <f>H26</f>
        <v>100</v>
      </c>
      <c r="V26" s="774" t="s">
        <v>17</v>
      </c>
      <c r="W26" s="775">
        <f>J26</f>
        <v>100</v>
      </c>
      <c r="X26" s="1816"/>
      <c r="Y26" s="3174"/>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4"/>
      <c r="Q27" s="1798">
        <f t="shared" si="11"/>
        <v>111</v>
      </c>
      <c r="R27" s="770" t="s">
        <v>17</v>
      </c>
      <c r="S27" s="771">
        <f>F27</f>
        <v>100</v>
      </c>
      <c r="T27" s="770" t="s">
        <v>17</v>
      </c>
      <c r="U27" s="771">
        <f>H27</f>
        <v>100</v>
      </c>
      <c r="V27" s="770" t="s">
        <v>17</v>
      </c>
      <c r="W27" s="771">
        <f>J27</f>
        <v>100</v>
      </c>
      <c r="X27" s="772"/>
      <c r="Y27" s="3174"/>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4"/>
      <c r="Q28" s="1813">
        <f t="shared" si="11"/>
        <v>111</v>
      </c>
      <c r="R28" s="774" t="s">
        <v>17</v>
      </c>
      <c r="S28" s="775">
        <f t="shared" ref="S28:S40" si="12">F28</f>
        <v>100</v>
      </c>
      <c r="T28" s="774" t="s">
        <v>17</v>
      </c>
      <c r="U28" s="775">
        <f t="shared" ref="U28:U40" si="13">H28</f>
        <v>100</v>
      </c>
      <c r="V28" s="774" t="s">
        <v>17</v>
      </c>
      <c r="W28" s="775">
        <f t="shared" ref="W28:W40" si="14">J28</f>
        <v>100</v>
      </c>
      <c r="X28" s="1816"/>
      <c r="Y28" s="3174"/>
      <c r="Z28" s="1817">
        <f t="shared" ref="Z28:Z40" si="15">Q28</f>
        <v>111</v>
      </c>
      <c r="AA28" s="1814">
        <f t="shared" si="3"/>
        <v>1</v>
      </c>
      <c r="AB28" s="1814">
        <f t="shared" si="4"/>
        <v>1</v>
      </c>
      <c r="AC28" s="1814">
        <f t="shared" si="5"/>
        <v>1</v>
      </c>
    </row>
    <row r="29" spans="1:29" ht="1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24" t="s">
        <v>2565</v>
      </c>
      <c r="Q29" s="1813" t="str">
        <f t="shared" si="11"/>
        <v>建筑类型</v>
      </c>
      <c r="R29" s="774" t="s">
        <v>17</v>
      </c>
      <c r="S29" s="775">
        <f t="shared" si="12"/>
        <v>100</v>
      </c>
      <c r="T29" s="774" t="s">
        <v>17</v>
      </c>
      <c r="U29" s="775">
        <f t="shared" si="13"/>
        <v>100</v>
      </c>
      <c r="V29" s="774" t="s">
        <v>17</v>
      </c>
      <c r="W29" s="775">
        <f t="shared" si="14"/>
        <v>100</v>
      </c>
      <c r="X29" s="1816"/>
      <c r="Y29" s="3178"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8" t="s">
        <v>2565</v>
      </c>
      <c r="Q35" s="1813" t="str">
        <f t="shared" si="11"/>
        <v>市政基础设施</v>
      </c>
      <c r="R35" s="774" t="s">
        <v>17</v>
      </c>
      <c r="S35" s="775">
        <f t="shared" si="12"/>
        <v>100</v>
      </c>
      <c r="T35" s="774" t="s">
        <v>17</v>
      </c>
      <c r="U35" s="775">
        <f t="shared" si="13"/>
        <v>100</v>
      </c>
      <c r="V35" s="774" t="s">
        <v>17</v>
      </c>
      <c r="W35" s="775">
        <f t="shared" si="14"/>
        <v>100</v>
      </c>
      <c r="X35" s="1816"/>
      <c r="Y35" s="3178"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79"/>
      <c r="Q40" s="1813">
        <f t="shared" si="11"/>
        <v>111</v>
      </c>
      <c r="R40" s="774" t="s">
        <v>17</v>
      </c>
      <c r="S40" s="775">
        <f t="shared" si="12"/>
        <v>100</v>
      </c>
      <c r="T40" s="774" t="s">
        <v>17</v>
      </c>
      <c r="U40" s="775">
        <f t="shared" si="13"/>
        <v>100</v>
      </c>
      <c r="V40" s="774" t="s">
        <v>17</v>
      </c>
      <c r="W40" s="775">
        <f t="shared" si="14"/>
        <v>100</v>
      </c>
      <c r="X40" s="1816"/>
      <c r="Y40" s="3179"/>
      <c r="Z40" s="1817">
        <f t="shared" si="15"/>
        <v>111</v>
      </c>
      <c r="AA40" s="1814">
        <f t="shared" si="3"/>
        <v>1</v>
      </c>
      <c r="AB40" s="1814">
        <f t="shared" si="4"/>
        <v>1</v>
      </c>
      <c r="AC40" s="1814">
        <f t="shared" si="5"/>
        <v>1</v>
      </c>
    </row>
    <row r="41" spans="1:29" ht="15">
      <c r="A41" s="479" t="s">
        <v>2577</v>
      </c>
      <c r="B41" s="480"/>
      <c r="C41" s="1409" t="s">
        <v>1</v>
      </c>
      <c r="D41" s="1410"/>
      <c r="E41" s="1411"/>
      <c r="F41" s="1412"/>
      <c r="G41" s="1413"/>
      <c r="H41" s="1414"/>
      <c r="I41" s="1411"/>
      <c r="J41" s="1414"/>
      <c r="K41" s="783"/>
      <c r="L41" s="1145"/>
      <c r="M41" s="1146"/>
      <c r="N41" s="1133"/>
      <c r="O41" s="1146"/>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2669</v>
      </c>
      <c r="B42" s="487"/>
      <c r="C42" s="1415" t="e">
        <f>R43</f>
        <v>#DIV/0!</v>
      </c>
      <c r="D42" s="1416"/>
      <c r="E42" s="1417" t="e">
        <f>R42</f>
        <v>#DIV/0!</v>
      </c>
      <c r="F42" s="1417"/>
      <c r="G42" s="1415" t="e">
        <f>T42</f>
        <v>#DIV/0!</v>
      </c>
      <c r="H42" s="1416"/>
      <c r="I42" s="1417" t="e">
        <f>V42</f>
        <v>#DIV/0!</v>
      </c>
      <c r="J42" s="1416"/>
      <c r="K42" s="784"/>
      <c r="L42" s="1145"/>
      <c r="M42" s="1146"/>
      <c r="N42" s="1133"/>
      <c r="O42" s="1146"/>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2670</v>
      </c>
      <c r="B43" s="493"/>
      <c r="C43" s="1419" t="e">
        <f>R43</f>
        <v>#DIV/0!</v>
      </c>
      <c r="D43" s="1419"/>
      <c r="E43" s="1419"/>
      <c r="F43" s="1419"/>
      <c r="G43" s="1419"/>
      <c r="H43" s="1419"/>
      <c r="I43" s="1419"/>
      <c r="J43" s="1419"/>
      <c r="K43" s="785"/>
      <c r="L43" s="1145"/>
      <c r="M43" s="1146"/>
      <c r="N43" s="1146"/>
      <c r="O43" s="1146"/>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2674</v>
      </c>
      <c r="B51" s="759"/>
      <c r="C51" s="764"/>
      <c r="D51" s="764"/>
      <c r="E51" s="764"/>
      <c r="F51" s="765"/>
      <c r="G51" s="765"/>
      <c r="H51" s="764"/>
      <c r="I51" s="764"/>
      <c r="J51" s="764"/>
      <c r="K51" s="1162"/>
      <c r="L51" s="1163"/>
      <c r="M51" s="1161"/>
      <c r="N51" s="1161"/>
      <c r="O51" s="1161"/>
      <c r="P51" s="503"/>
      <c r="Q51" s="504"/>
    </row>
    <row r="52" spans="1:17" s="508" customFormat="1" ht="15">
      <c r="A52" s="505" t="s">
        <v>2548</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2588</v>
      </c>
      <c r="B57" s="528" t="s">
        <v>2554</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2563</v>
      </c>
      <c r="B88" s="528" t="s">
        <v>2612</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2614</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2616</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2617</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2618</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2620</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准信智慧消防股份有限公司：</v>
      </c>
    </row>
    <row r="4" spans="1:1" ht="36">
      <c r="A4" s="1951" t="str">
        <f>"受贵公司委托，我公司对"&amp;项目基本情况!S1&amp;"进行了预评估。"</f>
        <v>受贵公司委托，我公司对西城区西直门外大街1号院2号楼17层19C5-19C13房地产抵押价值进行了预评估。</v>
      </c>
    </row>
    <row r="5" spans="1:1" ht="18.75">
      <c r="A5" s="1952" t="s">
        <v>1614</v>
      </c>
    </row>
    <row r="6" spans="1:1" ht="18.75">
      <c r="A6" s="1953" t="s">
        <v>1615</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估价对象为西城区西直门外大街1号院2号楼17层19C5-19C13房地产，为准信智慧消防股份有限公司所有。根据，估价对象（分摊）出让国有建设用地使用权面积为0平方米，建筑面积为1141.77平方米。</v>
      </c>
    </row>
    <row r="8" spans="1:1" ht="57.75">
      <c r="A8" s="1954" t="s">
        <v>1616</v>
      </c>
    </row>
    <row r="9" spans="1:1" ht="18.75">
      <c r="A9" s="1953" t="s">
        <v>1617</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城区西直门外大街1号院2号楼17层19C5-19C13房地产,属准信智慧消防股份有限公司开发建设的办公项目，该项目尚在开发建设中。根据，估价对象（分摊）出让国有建设用地使用权面积为0平方米，规划建筑面积为1141.77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2018年1月2日（评估专业人员实地查勘之日）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日，估价对象规划用途为办公，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2" t="s">
        <v>2529</v>
      </c>
      <c r="C1" s="1637" t="s">
        <v>2530</v>
      </c>
      <c r="D1" s="1624"/>
      <c r="E1" s="2583"/>
      <c r="F1" s="2584" t="s">
        <v>2531</v>
      </c>
      <c r="G1" s="1634" t="s">
        <v>2532</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6"/>
      <c r="D2" s="1367" t="e">
        <f ca="1">SUMIF(INDIRECT("'"&amp;F2&amp;"'"&amp;"!A:A"),"承租人权益价值",INDIRECT("'"&amp;F2&amp;"'"&amp;"!c:c"))</f>
        <v>#REF!</v>
      </c>
      <c r="E2" s="2587" t="s">
        <v>2533</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1396</v>
      </c>
      <c r="B3" s="399" t="e">
        <f ca="1">IF(C2="——",C49,ROUND(B2*10000/D3,0))</f>
        <v>#DIV/0!</v>
      </c>
      <c r="C3" s="400" t="s">
        <v>2534</v>
      </c>
      <c r="D3" s="399">
        <f>IF(D1="",'数据-汇总表'!E3,SUMIF('数据-汇总表'!$C19:$C33,D1,'数据-汇总表'!$E19:$E33))</f>
        <v>1141.77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2535</v>
      </c>
      <c r="B4" s="402"/>
      <c r="C4" s="3154" t="s">
        <v>2536</v>
      </c>
      <c r="D4" s="3155"/>
      <c r="E4" s="3156" t="s">
        <v>2537</v>
      </c>
      <c r="F4" s="3157"/>
      <c r="G4" s="3154" t="s">
        <v>2538</v>
      </c>
      <c r="H4" s="3155"/>
      <c r="I4" s="3154" t="s">
        <v>2539</v>
      </c>
      <c r="J4" s="3155"/>
      <c r="K4" s="2596" t="s">
        <v>2540</v>
      </c>
      <c r="L4" s="1132"/>
      <c r="M4" s="1133"/>
      <c r="N4" s="1133"/>
      <c r="O4" s="1133"/>
      <c r="P4" s="3158" t="s">
        <v>2541</v>
      </c>
      <c r="Q4" s="3159"/>
      <c r="R4" s="3141" t="s">
        <v>2537</v>
      </c>
      <c r="S4" s="3142"/>
      <c r="T4" s="3141" t="s">
        <v>2538</v>
      </c>
      <c r="U4" s="3142"/>
      <c r="V4" s="3166" t="s">
        <v>2539</v>
      </c>
      <c r="W4" s="3166"/>
      <c r="X4" s="2940"/>
      <c r="Y4" s="3141" t="s">
        <v>2541</v>
      </c>
      <c r="Z4" s="3142"/>
      <c r="AA4" s="3136" t="s">
        <v>2537</v>
      </c>
      <c r="AB4" s="3136" t="s">
        <v>2538</v>
      </c>
      <c r="AC4" s="3136" t="s">
        <v>2539</v>
      </c>
    </row>
    <row r="5" spans="1:29" ht="15">
      <c r="A5" s="404"/>
      <c r="B5" s="405"/>
      <c r="C5" s="3147" t="s">
        <v>2542</v>
      </c>
      <c r="D5" s="3148"/>
      <c r="E5" s="3145" t="s">
        <v>2543</v>
      </c>
      <c r="F5" s="3146"/>
      <c r="G5" s="3147" t="s">
        <v>2544</v>
      </c>
      <c r="H5" s="3148"/>
      <c r="I5" s="3147" t="s">
        <v>2545</v>
      </c>
      <c r="J5" s="3148"/>
      <c r="K5" s="2597"/>
      <c r="L5" s="1132"/>
      <c r="M5" s="1133"/>
      <c r="N5" s="1133"/>
      <c r="O5" s="1133"/>
      <c r="P5" s="3160"/>
      <c r="Q5" s="3161"/>
      <c r="R5" s="3143"/>
      <c r="S5" s="3144"/>
      <c r="T5" s="3143"/>
      <c r="U5" s="3144"/>
      <c r="V5" s="3166"/>
      <c r="W5" s="3166"/>
      <c r="X5" s="2940"/>
      <c r="Y5" s="3143"/>
      <c r="Z5" s="3144"/>
      <c r="AA5" s="3137"/>
      <c r="AB5" s="3137"/>
      <c r="AC5" s="3137"/>
    </row>
    <row r="6" spans="1:29" ht="15.75" thickBot="1">
      <c r="A6" s="406"/>
      <c r="B6" s="407"/>
      <c r="C6" s="3149" t="s">
        <v>2546</v>
      </c>
      <c r="D6" s="3150"/>
      <c r="E6" s="3151" t="s">
        <v>2546</v>
      </c>
      <c r="F6" s="3152"/>
      <c r="G6" s="3149" t="s">
        <v>2546</v>
      </c>
      <c r="H6" s="3150"/>
      <c r="I6" s="3149" t="s">
        <v>2546</v>
      </c>
      <c r="J6" s="3150"/>
      <c r="K6" s="2597" t="s">
        <v>2547</v>
      </c>
      <c r="L6" s="1132"/>
      <c r="M6" s="1133"/>
      <c r="N6" s="1133"/>
      <c r="O6" s="1133"/>
      <c r="P6" s="3162"/>
      <c r="Q6" s="3163"/>
      <c r="R6" s="3143"/>
      <c r="S6" s="3144"/>
      <c r="T6" s="3164"/>
      <c r="U6" s="3165"/>
      <c r="V6" s="3166"/>
      <c r="W6" s="3166"/>
      <c r="X6" s="2940"/>
      <c r="Y6" s="3164"/>
      <c r="Z6" s="3165"/>
      <c r="AA6" s="3138"/>
      <c r="AB6" s="3138"/>
      <c r="AC6" s="3138"/>
    </row>
    <row r="7" spans="1:29" s="117" customFormat="1" ht="15.75" thickBot="1">
      <c r="A7" s="408" t="s">
        <v>2548</v>
      </c>
      <c r="B7" s="409"/>
      <c r="C7" s="410">
        <f>'数据-取费表'!B2</f>
        <v>43102</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39" t="s">
        <v>2549</v>
      </c>
      <c r="Q7" s="3167"/>
      <c r="R7" s="770" t="s">
        <v>23</v>
      </c>
      <c r="S7" s="771">
        <f t="shared" ref="S7:S15" si="0">F7</f>
        <v>0</v>
      </c>
      <c r="T7" s="770" t="s">
        <v>23</v>
      </c>
      <c r="U7" s="771">
        <f t="shared" ref="U7:U15" si="1">H7</f>
        <v>0</v>
      </c>
      <c r="V7" s="770" t="s">
        <v>23</v>
      </c>
      <c r="W7" s="771">
        <f t="shared" ref="W7:W15" si="2">J7</f>
        <v>0</v>
      </c>
      <c r="X7" s="772"/>
      <c r="Y7" s="3139" t="s">
        <v>2549</v>
      </c>
      <c r="Z7" s="3140"/>
      <c r="AA7" s="773" t="e">
        <f>D7/F7</f>
        <v>#DIV/0!</v>
      </c>
      <c r="AB7" s="773" t="e">
        <f>D7/H7</f>
        <v>#DIV/0!</v>
      </c>
      <c r="AC7" s="773" t="e">
        <f>D7/J7</f>
        <v>#DIV/0!</v>
      </c>
    </row>
    <row r="8" spans="1:29" s="117" customFormat="1" ht="15.75" thickBot="1">
      <c r="A8" s="408" t="s">
        <v>2550</v>
      </c>
      <c r="B8" s="409"/>
      <c r="C8" s="414" t="s">
        <v>2551</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139" t="s">
        <v>2552</v>
      </c>
      <c r="Q8" s="3140"/>
      <c r="R8" s="770" t="s">
        <v>23</v>
      </c>
      <c r="S8" s="771">
        <f t="shared" si="0"/>
        <v>0</v>
      </c>
      <c r="T8" s="770" t="s">
        <v>23</v>
      </c>
      <c r="U8" s="771">
        <f t="shared" si="1"/>
        <v>0</v>
      </c>
      <c r="V8" s="770" t="s">
        <v>23</v>
      </c>
      <c r="W8" s="771">
        <f t="shared" si="2"/>
        <v>0</v>
      </c>
      <c r="X8" s="772"/>
      <c r="Y8" s="3139" t="s">
        <v>2552</v>
      </c>
      <c r="Z8" s="3140"/>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53" t="s">
        <v>2555</v>
      </c>
      <c r="Q9" s="2926" t="str">
        <f t="shared" ref="Q9:Q15" si="6">B9</f>
        <v>用途</v>
      </c>
      <c r="R9" s="770" t="s">
        <v>17</v>
      </c>
      <c r="S9" s="771">
        <f t="shared" si="0"/>
        <v>100</v>
      </c>
      <c r="T9" s="770" t="s">
        <v>17</v>
      </c>
      <c r="U9" s="771">
        <f t="shared" si="1"/>
        <v>100</v>
      </c>
      <c r="V9" s="770" t="s">
        <v>17</v>
      </c>
      <c r="W9" s="771">
        <f t="shared" si="2"/>
        <v>100</v>
      </c>
      <c r="X9" s="772"/>
      <c r="Y9" s="3013" t="s">
        <v>2556</v>
      </c>
      <c r="Z9" s="2927" t="str">
        <f t="shared" ref="Z9:Z15" si="7">Q9</f>
        <v>用途</v>
      </c>
      <c r="AA9" s="773">
        <f t="shared" si="3"/>
        <v>1</v>
      </c>
      <c r="AB9" s="773">
        <f t="shared" si="4"/>
        <v>1</v>
      </c>
      <c r="AC9" s="773">
        <f t="shared" si="5"/>
        <v>1</v>
      </c>
    </row>
    <row r="10" spans="1:29" s="427" customFormat="1" ht="27">
      <c r="A10" s="421"/>
      <c r="B10" s="2932" t="s">
        <v>2557</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53"/>
      <c r="Q10" s="2926" t="str">
        <f t="shared" si="6"/>
        <v>土地使用年限（年）</v>
      </c>
      <c r="R10" s="770" t="s">
        <v>17</v>
      </c>
      <c r="S10" s="771">
        <f t="shared" si="0"/>
        <v>100</v>
      </c>
      <c r="T10" s="770" t="s">
        <v>17</v>
      </c>
      <c r="U10" s="771">
        <f t="shared" si="1"/>
        <v>100</v>
      </c>
      <c r="V10" s="770" t="s">
        <v>17</v>
      </c>
      <c r="W10" s="771">
        <f t="shared" si="2"/>
        <v>100</v>
      </c>
      <c r="X10" s="772"/>
      <c r="Y10" s="3013"/>
      <c r="Z10" s="2927" t="str">
        <f t="shared" si="7"/>
        <v>土地使用年限（年）</v>
      </c>
      <c r="AA10" s="773">
        <f t="shared" si="3"/>
        <v>1</v>
      </c>
      <c r="AB10" s="773">
        <f t="shared" si="4"/>
        <v>1</v>
      </c>
      <c r="AC10" s="773">
        <f t="shared" si="5"/>
        <v>1</v>
      </c>
    </row>
    <row r="11" spans="1:29" ht="15">
      <c r="A11" s="428"/>
      <c r="B11" s="293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53"/>
      <c r="Q11" s="2926" t="str">
        <f t="shared" si="6"/>
        <v>容积率</v>
      </c>
      <c r="R11" s="770" t="s">
        <v>21</v>
      </c>
      <c r="S11" s="771" t="e">
        <f t="shared" si="0"/>
        <v>#N/A</v>
      </c>
      <c r="T11" s="770" t="s">
        <v>21</v>
      </c>
      <c r="U11" s="771" t="e">
        <f t="shared" si="1"/>
        <v>#N/A</v>
      </c>
      <c r="V11" s="770" t="s">
        <v>21</v>
      </c>
      <c r="W11" s="771" t="e">
        <f t="shared" si="2"/>
        <v>#N/A</v>
      </c>
      <c r="X11" s="772"/>
      <c r="Y11" s="3013"/>
      <c r="Z11" s="2927"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53"/>
      <c r="Q12" s="2926">
        <f t="shared" si="6"/>
        <v>111</v>
      </c>
      <c r="R12" s="770" t="s">
        <v>21</v>
      </c>
      <c r="S12" s="771">
        <f t="shared" si="0"/>
        <v>100</v>
      </c>
      <c r="T12" s="770" t="s">
        <v>21</v>
      </c>
      <c r="U12" s="771">
        <f t="shared" si="1"/>
        <v>100</v>
      </c>
      <c r="V12" s="770" t="s">
        <v>21</v>
      </c>
      <c r="W12" s="771">
        <f t="shared" si="2"/>
        <v>100</v>
      </c>
      <c r="X12" s="772"/>
      <c r="Y12" s="3013"/>
      <c r="Z12" s="2927">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53"/>
      <c r="Q13" s="2926">
        <f t="shared" si="6"/>
        <v>111</v>
      </c>
      <c r="R13" s="770" t="s">
        <v>21</v>
      </c>
      <c r="S13" s="771">
        <f t="shared" si="0"/>
        <v>100</v>
      </c>
      <c r="T13" s="770" t="s">
        <v>21</v>
      </c>
      <c r="U13" s="771">
        <f t="shared" si="1"/>
        <v>100</v>
      </c>
      <c r="V13" s="770" t="s">
        <v>21</v>
      </c>
      <c r="W13" s="771">
        <f t="shared" si="2"/>
        <v>100</v>
      </c>
      <c r="X13" s="772"/>
      <c r="Y13" s="3013"/>
      <c r="Z13" s="2927">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53"/>
      <c r="Q14" s="2926">
        <f t="shared" si="6"/>
        <v>111</v>
      </c>
      <c r="R14" s="770" t="s">
        <v>21</v>
      </c>
      <c r="S14" s="771">
        <f t="shared" si="0"/>
        <v>100</v>
      </c>
      <c r="T14" s="770" t="s">
        <v>21</v>
      </c>
      <c r="U14" s="771">
        <f t="shared" si="1"/>
        <v>100</v>
      </c>
      <c r="V14" s="770" t="s">
        <v>21</v>
      </c>
      <c r="W14" s="771">
        <f t="shared" si="2"/>
        <v>100</v>
      </c>
      <c r="X14" s="772"/>
      <c r="Y14" s="3013"/>
      <c r="Z14" s="2927">
        <f t="shared" si="7"/>
        <v>111</v>
      </c>
      <c r="AA14" s="773">
        <f t="shared" si="3"/>
        <v>1</v>
      </c>
      <c r="AB14" s="773">
        <f t="shared" si="4"/>
        <v>1</v>
      </c>
      <c r="AC14" s="773">
        <f t="shared" si="5"/>
        <v>1</v>
      </c>
    </row>
    <row r="15" spans="1:29" ht="99.75">
      <c r="A15" s="440" t="s">
        <v>2559</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80" t="s">
        <v>2560</v>
      </c>
      <c r="Q15" s="2938" t="str">
        <f t="shared" si="6"/>
        <v>居住社区成熟度</v>
      </c>
      <c r="R15" s="774" t="s">
        <v>21</v>
      </c>
      <c r="S15" s="775">
        <f t="shared" si="0"/>
        <v>100</v>
      </c>
      <c r="T15" s="774" t="s">
        <v>21</v>
      </c>
      <c r="U15" s="775">
        <f t="shared" si="1"/>
        <v>100</v>
      </c>
      <c r="V15" s="774" t="s">
        <v>21</v>
      </c>
      <c r="W15" s="775">
        <f t="shared" si="2"/>
        <v>100</v>
      </c>
      <c r="X15" s="2940"/>
      <c r="Y15" s="3173" t="s">
        <v>2560</v>
      </c>
      <c r="Z15" s="2941" t="str">
        <f t="shared" si="7"/>
        <v>居住社区成熟度</v>
      </c>
      <c r="AA15" s="2939">
        <f t="shared" si="3"/>
        <v>1</v>
      </c>
      <c r="AB15" s="2939">
        <f t="shared" si="4"/>
        <v>1</v>
      </c>
      <c r="AC15" s="2939">
        <f t="shared" si="5"/>
        <v>1</v>
      </c>
    </row>
    <row r="16" spans="1:29" ht="15">
      <c r="A16" s="428"/>
      <c r="B16" s="446"/>
      <c r="C16" s="447"/>
      <c r="D16" s="448"/>
      <c r="E16" s="2604"/>
      <c r="F16" s="448"/>
      <c r="G16" s="2605"/>
      <c r="H16" s="450"/>
      <c r="I16" s="2605"/>
      <c r="J16" s="448"/>
      <c r="K16" s="2606"/>
      <c r="L16" s="1142"/>
      <c r="M16" s="1133"/>
      <c r="N16" s="1133"/>
      <c r="O16" s="1133"/>
      <c r="P16" s="3181"/>
      <c r="Q16" s="2938"/>
      <c r="R16" s="774"/>
      <c r="S16" s="775"/>
      <c r="T16" s="774"/>
      <c r="U16" s="775"/>
      <c r="V16" s="774"/>
      <c r="W16" s="775"/>
      <c r="X16" s="2940"/>
      <c r="Y16" s="3174"/>
      <c r="Z16" s="2941"/>
      <c r="AA16" s="2939">
        <v>1</v>
      </c>
      <c r="AB16" s="2939">
        <v>1</v>
      </c>
      <c r="AC16" s="2939">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81"/>
      <c r="Q17" s="2938" t="str">
        <f>B17</f>
        <v>交通便捷度</v>
      </c>
      <c r="R17" s="774" t="s">
        <v>21</v>
      </c>
      <c r="S17" s="775">
        <f>F17</f>
        <v>100</v>
      </c>
      <c r="T17" s="774" t="s">
        <v>21</v>
      </c>
      <c r="U17" s="775">
        <f>H17</f>
        <v>100</v>
      </c>
      <c r="V17" s="774" t="s">
        <v>21</v>
      </c>
      <c r="W17" s="775">
        <f>J17</f>
        <v>100</v>
      </c>
      <c r="X17" s="2940"/>
      <c r="Y17" s="3174"/>
      <c r="Z17" s="2941" t="str">
        <f>Q17</f>
        <v>交通便捷度</v>
      </c>
      <c r="AA17" s="2939">
        <f t="shared" si="3"/>
        <v>1</v>
      </c>
      <c r="AB17" s="2939">
        <f t="shared" si="4"/>
        <v>1</v>
      </c>
      <c r="AC17" s="2939">
        <f t="shared" si="5"/>
        <v>1</v>
      </c>
    </row>
    <row r="18" spans="1:29" ht="15">
      <c r="A18" s="428"/>
      <c r="B18" s="456"/>
      <c r="C18" s="2608"/>
      <c r="D18" s="450"/>
      <c r="E18" s="2609"/>
      <c r="F18" s="450"/>
      <c r="G18" s="2610"/>
      <c r="H18" s="448"/>
      <c r="I18" s="2610"/>
      <c r="J18" s="448"/>
      <c r="K18" s="2606"/>
      <c r="L18" s="1142"/>
      <c r="M18" s="1133"/>
      <c r="N18" s="1133"/>
      <c r="O18" s="1133"/>
      <c r="P18" s="3181"/>
      <c r="Q18" s="2938"/>
      <c r="R18" s="774"/>
      <c r="S18" s="775"/>
      <c r="T18" s="774"/>
      <c r="U18" s="775"/>
      <c r="V18" s="774"/>
      <c r="W18" s="775"/>
      <c r="X18" s="2940"/>
      <c r="Y18" s="3174"/>
      <c r="Z18" s="2941"/>
      <c r="AA18" s="2939">
        <v>1</v>
      </c>
      <c r="AB18" s="2939">
        <v>1</v>
      </c>
      <c r="AC18" s="2939">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81"/>
      <c r="Q19" s="2938" t="str">
        <f>B19</f>
        <v>公共配套设施</v>
      </c>
      <c r="R19" s="774" t="s">
        <v>21</v>
      </c>
      <c r="S19" s="775">
        <f>F19</f>
        <v>100</v>
      </c>
      <c r="T19" s="774" t="s">
        <v>21</v>
      </c>
      <c r="U19" s="775">
        <f>H19</f>
        <v>100</v>
      </c>
      <c r="V19" s="774" t="s">
        <v>21</v>
      </c>
      <c r="W19" s="775">
        <f>J19</f>
        <v>100</v>
      </c>
      <c r="X19" s="2940"/>
      <c r="Y19" s="3174"/>
      <c r="Z19" s="2941" t="str">
        <f>Q19</f>
        <v>公共配套设施</v>
      </c>
      <c r="AA19" s="2939">
        <f t="shared" si="3"/>
        <v>1</v>
      </c>
      <c r="AB19" s="2939">
        <f t="shared" si="4"/>
        <v>1</v>
      </c>
      <c r="AC19" s="2939">
        <f t="shared" si="5"/>
        <v>1</v>
      </c>
    </row>
    <row r="20" spans="1:29" ht="15">
      <c r="A20" s="428"/>
      <c r="B20" s="456"/>
      <c r="C20" s="447"/>
      <c r="D20" s="448"/>
      <c r="E20" s="2604"/>
      <c r="F20" s="448"/>
      <c r="G20" s="2605"/>
      <c r="H20" s="448"/>
      <c r="I20" s="2605"/>
      <c r="J20" s="448"/>
      <c r="K20" s="2606"/>
      <c r="L20" s="1142"/>
      <c r="M20" s="1133"/>
      <c r="N20" s="1133"/>
      <c r="O20" s="1133"/>
      <c r="P20" s="3181"/>
      <c r="Q20" s="2938"/>
      <c r="R20" s="774"/>
      <c r="S20" s="775"/>
      <c r="T20" s="774"/>
      <c r="U20" s="775"/>
      <c r="V20" s="774"/>
      <c r="W20" s="775"/>
      <c r="X20" s="2940"/>
      <c r="Y20" s="3174"/>
      <c r="Z20" s="2941"/>
      <c r="AA20" s="2939">
        <v>1</v>
      </c>
      <c r="AB20" s="2939">
        <v>1</v>
      </c>
      <c r="AC20" s="2939">
        <v>1</v>
      </c>
    </row>
    <row r="21" spans="1:29" ht="28.5">
      <c r="A21" s="428"/>
      <c r="B21" s="1386"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81"/>
      <c r="Q21" s="2938" t="str">
        <f>B21</f>
        <v>基础设施水平</v>
      </c>
      <c r="R21" s="774" t="s">
        <v>17</v>
      </c>
      <c r="S21" s="775">
        <f>F21</f>
        <v>100</v>
      </c>
      <c r="T21" s="774" t="s">
        <v>17</v>
      </c>
      <c r="U21" s="775">
        <f>H21</f>
        <v>100</v>
      </c>
      <c r="V21" s="774" t="s">
        <v>17</v>
      </c>
      <c r="W21" s="775">
        <f>J21</f>
        <v>100</v>
      </c>
      <c r="X21" s="2940"/>
      <c r="Y21" s="3174"/>
      <c r="Z21" s="2941" t="str">
        <f>Q21</f>
        <v>基础设施水平</v>
      </c>
      <c r="AA21" s="2939">
        <f t="shared" ref="AA21" si="8">D21/F21</f>
        <v>1</v>
      </c>
      <c r="AB21" s="2939">
        <f t="shared" ref="AB21" si="9">D21/H21</f>
        <v>1</v>
      </c>
      <c r="AC21" s="2939">
        <f t="shared" ref="AC21" si="10">D21/J21</f>
        <v>1</v>
      </c>
    </row>
    <row r="22" spans="1:29" ht="15">
      <c r="A22" s="428"/>
      <c r="B22" s="1386"/>
      <c r="C22" s="2608"/>
      <c r="D22" s="448"/>
      <c r="E22" s="447"/>
      <c r="F22" s="448"/>
      <c r="G22" s="2611"/>
      <c r="H22" s="448"/>
      <c r="I22" s="447"/>
      <c r="J22" s="448"/>
      <c r="K22" s="2612"/>
      <c r="L22" s="1142"/>
      <c r="M22" s="1133"/>
      <c r="N22" s="1133"/>
      <c r="O22" s="1133"/>
      <c r="P22" s="3181"/>
      <c r="Q22" s="2938"/>
      <c r="R22" s="774"/>
      <c r="S22" s="775"/>
      <c r="T22" s="774"/>
      <c r="U22" s="775"/>
      <c r="V22" s="774"/>
      <c r="W22" s="775"/>
      <c r="X22" s="2940"/>
      <c r="Y22" s="3174"/>
      <c r="Z22" s="2941"/>
      <c r="AA22" s="2939">
        <v>1</v>
      </c>
      <c r="AB22" s="2939">
        <v>1</v>
      </c>
      <c r="AC22" s="2939">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81"/>
      <c r="Q23" s="2938" t="str">
        <f>B23</f>
        <v>自然及人文环境</v>
      </c>
      <c r="R23" s="774" t="s">
        <v>21</v>
      </c>
      <c r="S23" s="775">
        <f>F23</f>
        <v>100</v>
      </c>
      <c r="T23" s="774" t="s">
        <v>21</v>
      </c>
      <c r="U23" s="775">
        <f>H23</f>
        <v>100</v>
      </c>
      <c r="V23" s="774" t="s">
        <v>21</v>
      </c>
      <c r="W23" s="775">
        <f>J23</f>
        <v>100</v>
      </c>
      <c r="X23" s="2940"/>
      <c r="Y23" s="3174"/>
      <c r="Z23" s="2941" t="str">
        <f>Q23</f>
        <v>自然及人文环境</v>
      </c>
      <c r="AA23" s="2939">
        <f>D23/F23</f>
        <v>1</v>
      </c>
      <c r="AB23" s="2939">
        <f>D23/H23</f>
        <v>1</v>
      </c>
      <c r="AC23" s="2939">
        <f>D23/J23</f>
        <v>1</v>
      </c>
    </row>
    <row r="24" spans="1:29" ht="15">
      <c r="A24" s="428"/>
      <c r="B24" s="456"/>
      <c r="C24" s="447"/>
      <c r="D24" s="448"/>
      <c r="E24" s="2604"/>
      <c r="F24" s="448"/>
      <c r="G24" s="2605"/>
      <c r="H24" s="448"/>
      <c r="I24" s="2605"/>
      <c r="J24" s="448"/>
      <c r="K24" s="2606"/>
      <c r="L24" s="1142"/>
      <c r="M24" s="1133"/>
      <c r="N24" s="1133"/>
      <c r="O24" s="1133"/>
      <c r="P24" s="3181"/>
      <c r="Q24" s="2938"/>
      <c r="R24" s="774"/>
      <c r="S24" s="775"/>
      <c r="T24" s="774"/>
      <c r="U24" s="775"/>
      <c r="V24" s="774"/>
      <c r="W24" s="775"/>
      <c r="X24" s="2940"/>
      <c r="Y24" s="3174"/>
      <c r="Z24" s="2941"/>
      <c r="AA24" s="2939">
        <v>1</v>
      </c>
      <c r="AB24" s="2939">
        <v>1</v>
      </c>
      <c r="AC24" s="2939">
        <v>1</v>
      </c>
    </row>
    <row r="25" spans="1:29" ht="15">
      <c r="A25" s="428"/>
      <c r="B25" s="293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81"/>
      <c r="Q25" s="2938" t="str">
        <f t="shared" ref="Q25:Q46" si="11">B25</f>
        <v>楼层-1</v>
      </c>
      <c r="R25" s="774" t="s">
        <v>21</v>
      </c>
      <c r="S25" s="775">
        <f t="shared" ref="S25:S46" si="12">F25</f>
        <v>100</v>
      </c>
      <c r="T25" s="774" t="s">
        <v>21</v>
      </c>
      <c r="U25" s="775">
        <f t="shared" ref="U25:U46" si="13">H25</f>
        <v>100</v>
      </c>
      <c r="V25" s="774" t="s">
        <v>21</v>
      </c>
      <c r="W25" s="775">
        <f t="shared" ref="W25:W46" si="14">J25</f>
        <v>100</v>
      </c>
      <c r="X25" s="2940"/>
      <c r="Y25" s="3174"/>
      <c r="Z25" s="2941" t="str">
        <f>Q25</f>
        <v>楼层-1</v>
      </c>
      <c r="AA25" s="2939">
        <f t="shared" ref="AA25:AA46" si="15">D25/F25</f>
        <v>1</v>
      </c>
      <c r="AB25" s="2939">
        <f t="shared" ref="AB25:AB46" si="16">D25/H25</f>
        <v>1</v>
      </c>
      <c r="AC25" s="2939">
        <f t="shared" ref="AC25:AC46" si="17">D25/J25</f>
        <v>1</v>
      </c>
    </row>
    <row r="26" spans="1:29" ht="15">
      <c r="A26" s="428"/>
      <c r="B26" s="293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81"/>
      <c r="Q26" s="2938" t="str">
        <f t="shared" si="11"/>
        <v>朝向</v>
      </c>
      <c r="R26" s="774" t="s">
        <v>21</v>
      </c>
      <c r="S26" s="775">
        <f t="shared" si="12"/>
        <v>100</v>
      </c>
      <c r="T26" s="774" t="s">
        <v>21</v>
      </c>
      <c r="U26" s="775">
        <f t="shared" si="13"/>
        <v>100</v>
      </c>
      <c r="V26" s="774" t="s">
        <v>21</v>
      </c>
      <c r="W26" s="775">
        <f t="shared" si="14"/>
        <v>100</v>
      </c>
      <c r="X26" s="2940"/>
      <c r="Y26" s="3174"/>
      <c r="Z26" s="2941" t="str">
        <f>Q26</f>
        <v>朝向</v>
      </c>
      <c r="AA26" s="2939">
        <f t="shared" si="15"/>
        <v>1</v>
      </c>
      <c r="AB26" s="2939">
        <f t="shared" si="16"/>
        <v>1</v>
      </c>
      <c r="AC26" s="2939">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81"/>
      <c r="Q27" s="2926">
        <f t="shared" si="11"/>
        <v>111</v>
      </c>
      <c r="R27" s="770" t="s">
        <v>21</v>
      </c>
      <c r="S27" s="771">
        <f t="shared" si="12"/>
        <v>100</v>
      </c>
      <c r="T27" s="770" t="s">
        <v>21</v>
      </c>
      <c r="U27" s="771">
        <f t="shared" si="13"/>
        <v>100</v>
      </c>
      <c r="V27" s="770" t="s">
        <v>21</v>
      </c>
      <c r="W27" s="771">
        <f t="shared" si="14"/>
        <v>100</v>
      </c>
      <c r="X27" s="772"/>
      <c r="Y27" s="3174"/>
      <c r="Z27" s="2927">
        <f>Q27</f>
        <v>111</v>
      </c>
      <c r="AA27" s="2939">
        <f t="shared" si="15"/>
        <v>1</v>
      </c>
      <c r="AB27" s="2939">
        <f t="shared" si="16"/>
        <v>1</v>
      </c>
      <c r="AC27" s="2939">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81"/>
      <c r="Q28" s="2938">
        <f t="shared" si="11"/>
        <v>111</v>
      </c>
      <c r="R28" s="774" t="s">
        <v>21</v>
      </c>
      <c r="S28" s="775">
        <f t="shared" si="12"/>
        <v>100</v>
      </c>
      <c r="T28" s="774" t="s">
        <v>21</v>
      </c>
      <c r="U28" s="775">
        <f t="shared" si="13"/>
        <v>100</v>
      </c>
      <c r="V28" s="774" t="s">
        <v>21</v>
      </c>
      <c r="W28" s="775">
        <f t="shared" si="14"/>
        <v>100</v>
      </c>
      <c r="X28" s="2940"/>
      <c r="Y28" s="3174"/>
      <c r="Z28" s="2941">
        <f t="shared" ref="Z28:Z46" si="18">Q28</f>
        <v>111</v>
      </c>
      <c r="AA28" s="2939">
        <f t="shared" si="15"/>
        <v>1</v>
      </c>
      <c r="AB28" s="2939">
        <f t="shared" si="16"/>
        <v>1</v>
      </c>
      <c r="AC28" s="2939">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81"/>
      <c r="Q29" s="2938">
        <f t="shared" si="11"/>
        <v>111</v>
      </c>
      <c r="R29" s="774" t="s">
        <v>21</v>
      </c>
      <c r="S29" s="775">
        <f t="shared" si="12"/>
        <v>100</v>
      </c>
      <c r="T29" s="774" t="s">
        <v>21</v>
      </c>
      <c r="U29" s="775">
        <f t="shared" si="13"/>
        <v>100</v>
      </c>
      <c r="V29" s="774" t="s">
        <v>21</v>
      </c>
      <c r="W29" s="775">
        <f t="shared" si="14"/>
        <v>100</v>
      </c>
      <c r="X29" s="2940"/>
      <c r="Y29" s="3174"/>
      <c r="Z29" s="2941">
        <f t="shared" si="18"/>
        <v>111</v>
      </c>
      <c r="AA29" s="2939">
        <f t="shared" si="15"/>
        <v>1</v>
      </c>
      <c r="AB29" s="2939">
        <f t="shared" si="16"/>
        <v>1</v>
      </c>
      <c r="AC29" s="2939">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81"/>
      <c r="Q30" s="2938">
        <f t="shared" si="11"/>
        <v>111</v>
      </c>
      <c r="R30" s="774" t="s">
        <v>21</v>
      </c>
      <c r="S30" s="775">
        <f t="shared" si="12"/>
        <v>100</v>
      </c>
      <c r="T30" s="774" t="s">
        <v>21</v>
      </c>
      <c r="U30" s="775">
        <f t="shared" si="13"/>
        <v>100</v>
      </c>
      <c r="V30" s="774" t="s">
        <v>21</v>
      </c>
      <c r="W30" s="775">
        <f t="shared" si="14"/>
        <v>100</v>
      </c>
      <c r="X30" s="2940"/>
      <c r="Y30" s="3174"/>
      <c r="Z30" s="2941">
        <f t="shared" si="18"/>
        <v>111</v>
      </c>
      <c r="AA30" s="2939">
        <f t="shared" si="15"/>
        <v>1</v>
      </c>
      <c r="AB30" s="2939">
        <f t="shared" si="16"/>
        <v>1</v>
      </c>
      <c r="AC30" s="2939">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81"/>
      <c r="Q31" s="2938">
        <f t="shared" si="11"/>
        <v>111</v>
      </c>
      <c r="R31" s="774" t="s">
        <v>21</v>
      </c>
      <c r="S31" s="775">
        <f t="shared" si="12"/>
        <v>100</v>
      </c>
      <c r="T31" s="774" t="s">
        <v>21</v>
      </c>
      <c r="U31" s="775">
        <f t="shared" si="13"/>
        <v>100</v>
      </c>
      <c r="V31" s="774" t="s">
        <v>21</v>
      </c>
      <c r="W31" s="775">
        <f t="shared" si="14"/>
        <v>100</v>
      </c>
      <c r="X31" s="2940"/>
      <c r="Y31" s="3174"/>
      <c r="Z31" s="2941">
        <f t="shared" si="18"/>
        <v>111</v>
      </c>
      <c r="AA31" s="2939">
        <f t="shared" si="15"/>
        <v>1</v>
      </c>
      <c r="AB31" s="2939">
        <f t="shared" si="16"/>
        <v>1</v>
      </c>
      <c r="AC31" s="2939">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75" t="s">
        <v>2565</v>
      </c>
      <c r="Q32" s="2938" t="str">
        <f t="shared" si="11"/>
        <v>建筑类型</v>
      </c>
      <c r="R32" s="774" t="s">
        <v>21</v>
      </c>
      <c r="S32" s="775">
        <f t="shared" si="12"/>
        <v>100</v>
      </c>
      <c r="T32" s="774" t="s">
        <v>21</v>
      </c>
      <c r="U32" s="775">
        <f t="shared" si="13"/>
        <v>100</v>
      </c>
      <c r="V32" s="774" t="s">
        <v>21</v>
      </c>
      <c r="W32" s="775">
        <f t="shared" si="14"/>
        <v>100</v>
      </c>
      <c r="X32" s="2940"/>
      <c r="Y32" s="3178" t="s">
        <v>2565</v>
      </c>
      <c r="Z32" s="2941" t="str">
        <f t="shared" si="18"/>
        <v>建筑类型</v>
      </c>
      <c r="AA32" s="2939">
        <f t="shared" si="15"/>
        <v>1</v>
      </c>
      <c r="AB32" s="2939">
        <f t="shared" si="16"/>
        <v>1</v>
      </c>
      <c r="AC32" s="2939">
        <f t="shared" si="17"/>
        <v>1</v>
      </c>
    </row>
    <row r="33" spans="1:29" s="471" customFormat="1" ht="15">
      <c r="A33" s="468"/>
      <c r="B33" s="293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2939" t="e">
        <f t="shared" si="15"/>
        <v>#N/A</v>
      </c>
      <c r="AB33" s="2939" t="e">
        <f t="shared" si="16"/>
        <v>#N/A</v>
      </c>
      <c r="AC33" s="2939" t="e">
        <f t="shared" si="17"/>
        <v>#N/A</v>
      </c>
    </row>
    <row r="34" spans="1:29" ht="15">
      <c r="A34" s="472"/>
      <c r="B34" s="293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76"/>
      <c r="Q34" s="2938" t="str">
        <f t="shared" si="11"/>
        <v>建筑结构</v>
      </c>
      <c r="R34" s="774" t="s">
        <v>21</v>
      </c>
      <c r="S34" s="775">
        <f t="shared" si="12"/>
        <v>100</v>
      </c>
      <c r="T34" s="774" t="s">
        <v>21</v>
      </c>
      <c r="U34" s="775">
        <f t="shared" si="13"/>
        <v>100</v>
      </c>
      <c r="V34" s="774" t="s">
        <v>21</v>
      </c>
      <c r="W34" s="775">
        <f t="shared" si="14"/>
        <v>100</v>
      </c>
      <c r="X34" s="2940"/>
      <c r="Y34" s="3178"/>
      <c r="Z34" s="2941" t="str">
        <f t="shared" si="18"/>
        <v>建筑结构</v>
      </c>
      <c r="AA34" s="2939">
        <f t="shared" si="15"/>
        <v>1</v>
      </c>
      <c r="AB34" s="2939">
        <f t="shared" si="16"/>
        <v>1</v>
      </c>
      <c r="AC34" s="2939">
        <f t="shared" si="17"/>
        <v>1</v>
      </c>
    </row>
    <row r="35" spans="1:29" ht="15">
      <c r="A35" s="472"/>
      <c r="B35" s="293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76"/>
      <c r="Q35" s="2938" t="str">
        <f t="shared" si="11"/>
        <v>建筑品质</v>
      </c>
      <c r="R35" s="774" t="s">
        <v>21</v>
      </c>
      <c r="S35" s="775">
        <f t="shared" si="12"/>
        <v>100</v>
      </c>
      <c r="T35" s="774" t="s">
        <v>21</v>
      </c>
      <c r="U35" s="775">
        <f t="shared" si="13"/>
        <v>100</v>
      </c>
      <c r="V35" s="774" t="s">
        <v>21</v>
      </c>
      <c r="W35" s="775">
        <f t="shared" si="14"/>
        <v>100</v>
      </c>
      <c r="X35" s="2940"/>
      <c r="Y35" s="3178"/>
      <c r="Z35" s="2941" t="str">
        <f t="shared" si="18"/>
        <v>建筑品质</v>
      </c>
      <c r="AA35" s="2939">
        <f t="shared" si="15"/>
        <v>1</v>
      </c>
      <c r="AB35" s="2939">
        <f t="shared" si="16"/>
        <v>1</v>
      </c>
      <c r="AC35" s="2939">
        <f t="shared" si="17"/>
        <v>1</v>
      </c>
    </row>
    <row r="36" spans="1:29" ht="15">
      <c r="A36" s="472"/>
      <c r="B36" s="293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76"/>
      <c r="Q36" s="2938" t="str">
        <f t="shared" si="11"/>
        <v>公共部分装修</v>
      </c>
      <c r="R36" s="774" t="s">
        <v>21</v>
      </c>
      <c r="S36" s="775">
        <f t="shared" si="12"/>
        <v>100</v>
      </c>
      <c r="T36" s="774" t="s">
        <v>21</v>
      </c>
      <c r="U36" s="775">
        <f t="shared" si="13"/>
        <v>100</v>
      </c>
      <c r="V36" s="774" t="s">
        <v>21</v>
      </c>
      <c r="W36" s="775">
        <f t="shared" si="14"/>
        <v>100</v>
      </c>
      <c r="X36" s="2940"/>
      <c r="Y36" s="3178"/>
      <c r="Z36" s="2941" t="str">
        <f t="shared" si="18"/>
        <v>公共部分装修</v>
      </c>
      <c r="AA36" s="2939">
        <f t="shared" si="15"/>
        <v>1</v>
      </c>
      <c r="AB36" s="2939">
        <f t="shared" si="16"/>
        <v>1</v>
      </c>
      <c r="AC36" s="2939">
        <f t="shared" si="17"/>
        <v>1</v>
      </c>
    </row>
    <row r="37" spans="1:29" s="117" customFormat="1" ht="15">
      <c r="A37" s="473"/>
      <c r="B37" s="293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76"/>
      <c r="Q37" s="2926" t="str">
        <f t="shared" si="11"/>
        <v>成新度</v>
      </c>
      <c r="R37" s="770" t="s">
        <v>21</v>
      </c>
      <c r="S37" s="771" t="e">
        <f t="shared" si="12"/>
        <v>#N/A</v>
      </c>
      <c r="T37" s="770" t="s">
        <v>21</v>
      </c>
      <c r="U37" s="771" t="e">
        <f t="shared" si="13"/>
        <v>#N/A</v>
      </c>
      <c r="V37" s="770" t="s">
        <v>21</v>
      </c>
      <c r="W37" s="771" t="e">
        <f t="shared" si="14"/>
        <v>#N/A</v>
      </c>
      <c r="X37" s="772"/>
      <c r="Y37" s="3178"/>
      <c r="Z37" s="2927" t="str">
        <f t="shared" si="18"/>
        <v>成新度</v>
      </c>
      <c r="AA37" s="773" t="e">
        <f t="shared" si="15"/>
        <v>#N/A</v>
      </c>
      <c r="AB37" s="773" t="e">
        <f t="shared" si="16"/>
        <v>#N/A</v>
      </c>
      <c r="AC37" s="773" t="e">
        <f t="shared" si="17"/>
        <v>#N/A</v>
      </c>
    </row>
    <row r="38" spans="1:29" ht="15">
      <c r="A38" s="472"/>
      <c r="B38" s="293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76" t="s">
        <v>2565</v>
      </c>
      <c r="Q38" s="2938" t="str">
        <f t="shared" si="11"/>
        <v>物业管理</v>
      </c>
      <c r="R38" s="774" t="s">
        <v>21</v>
      </c>
      <c r="S38" s="775">
        <f t="shared" si="12"/>
        <v>100</v>
      </c>
      <c r="T38" s="774" t="s">
        <v>21</v>
      </c>
      <c r="U38" s="775">
        <f t="shared" si="13"/>
        <v>100</v>
      </c>
      <c r="V38" s="774" t="s">
        <v>21</v>
      </c>
      <c r="W38" s="775">
        <f t="shared" si="14"/>
        <v>100</v>
      </c>
      <c r="X38" s="2940"/>
      <c r="Y38" s="3178" t="s">
        <v>2565</v>
      </c>
      <c r="Z38" s="2941" t="str">
        <f t="shared" si="18"/>
        <v>物业管理</v>
      </c>
      <c r="AA38" s="2939">
        <f t="shared" si="15"/>
        <v>1</v>
      </c>
      <c r="AB38" s="2939">
        <f t="shared" si="16"/>
        <v>1</v>
      </c>
      <c r="AC38" s="2939">
        <f t="shared" si="17"/>
        <v>1</v>
      </c>
    </row>
    <row r="39" spans="1:29" ht="15">
      <c r="A39" s="472"/>
      <c r="B39" s="293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76"/>
      <c r="Q39" s="2938" t="str">
        <f t="shared" si="11"/>
        <v>市政基础设施</v>
      </c>
      <c r="R39" s="774" t="s">
        <v>21</v>
      </c>
      <c r="S39" s="775">
        <f t="shared" si="12"/>
        <v>100</v>
      </c>
      <c r="T39" s="774" t="s">
        <v>21</v>
      </c>
      <c r="U39" s="775">
        <f t="shared" si="13"/>
        <v>100</v>
      </c>
      <c r="V39" s="774" t="s">
        <v>21</v>
      </c>
      <c r="W39" s="775">
        <f t="shared" si="14"/>
        <v>100</v>
      </c>
      <c r="X39" s="2940"/>
      <c r="Y39" s="3178"/>
      <c r="Z39" s="2941" t="str">
        <f t="shared" si="18"/>
        <v>市政基础设施</v>
      </c>
      <c r="AA39" s="2939">
        <f t="shared" si="15"/>
        <v>1</v>
      </c>
      <c r="AB39" s="2939">
        <f t="shared" si="16"/>
        <v>1</v>
      </c>
      <c r="AC39" s="2939">
        <f t="shared" si="17"/>
        <v>1</v>
      </c>
    </row>
    <row r="40" spans="1:29" ht="15">
      <c r="A40" s="472"/>
      <c r="B40" s="293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76"/>
      <c r="Q40" s="2938" t="str">
        <f t="shared" si="11"/>
        <v>房型</v>
      </c>
      <c r="R40" s="774" t="s">
        <v>21</v>
      </c>
      <c r="S40" s="775">
        <f t="shared" si="12"/>
        <v>100</v>
      </c>
      <c r="T40" s="774" t="s">
        <v>21</v>
      </c>
      <c r="U40" s="775">
        <f t="shared" si="13"/>
        <v>100</v>
      </c>
      <c r="V40" s="774" t="s">
        <v>21</v>
      </c>
      <c r="W40" s="775">
        <f t="shared" si="14"/>
        <v>100</v>
      </c>
      <c r="X40" s="2940"/>
      <c r="Y40" s="3178"/>
      <c r="Z40" s="2941" t="str">
        <f t="shared" si="18"/>
        <v>房型</v>
      </c>
      <c r="AA40" s="2939">
        <f t="shared" si="15"/>
        <v>1</v>
      </c>
      <c r="AB40" s="2939">
        <f t="shared" si="16"/>
        <v>1</v>
      </c>
      <c r="AC40" s="2939">
        <f t="shared" si="17"/>
        <v>1</v>
      </c>
    </row>
    <row r="41" spans="1:29" s="471" customFormat="1" ht="28.5">
      <c r="A41" s="468"/>
      <c r="B41" s="293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2939">
        <f t="shared" si="15"/>
        <v>1</v>
      </c>
      <c r="AB41" s="2939">
        <f t="shared" si="16"/>
        <v>1</v>
      </c>
      <c r="AC41" s="2939">
        <f t="shared" si="17"/>
        <v>1</v>
      </c>
    </row>
    <row r="42" spans="1:29" ht="15">
      <c r="A42" s="472"/>
      <c r="B42" s="293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76"/>
      <c r="Q42" s="2938" t="str">
        <f t="shared" si="11"/>
        <v>内部装修</v>
      </c>
      <c r="R42" s="774" t="s">
        <v>21</v>
      </c>
      <c r="S42" s="775">
        <f t="shared" si="12"/>
        <v>100</v>
      </c>
      <c r="T42" s="774" t="s">
        <v>21</v>
      </c>
      <c r="U42" s="775">
        <f t="shared" si="13"/>
        <v>100</v>
      </c>
      <c r="V42" s="774" t="s">
        <v>21</v>
      </c>
      <c r="W42" s="775">
        <f t="shared" si="14"/>
        <v>100</v>
      </c>
      <c r="X42" s="2940"/>
      <c r="Y42" s="3178"/>
      <c r="Z42" s="2941" t="str">
        <f t="shared" si="18"/>
        <v>内部装修</v>
      </c>
      <c r="AA42" s="2939">
        <f t="shared" si="15"/>
        <v>1</v>
      </c>
      <c r="AB42" s="2939">
        <f t="shared" si="16"/>
        <v>1</v>
      </c>
      <c r="AC42" s="2939">
        <f t="shared" si="17"/>
        <v>1</v>
      </c>
    </row>
    <row r="43" spans="1:29" ht="15">
      <c r="A43" s="472"/>
      <c r="B43" s="293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76"/>
      <c r="Q43" s="2938" t="str">
        <f t="shared" si="11"/>
        <v>内部装修维护情况</v>
      </c>
      <c r="R43" s="774" t="s">
        <v>21</v>
      </c>
      <c r="S43" s="775">
        <f t="shared" si="12"/>
        <v>100</v>
      </c>
      <c r="T43" s="774" t="s">
        <v>21</v>
      </c>
      <c r="U43" s="775">
        <f t="shared" si="13"/>
        <v>100</v>
      </c>
      <c r="V43" s="774" t="s">
        <v>21</v>
      </c>
      <c r="W43" s="775">
        <f t="shared" si="14"/>
        <v>100</v>
      </c>
      <c r="X43" s="2940"/>
      <c r="Y43" s="3178"/>
      <c r="Z43" s="2941" t="str">
        <f t="shared" si="18"/>
        <v>内部装修维护情况</v>
      </c>
      <c r="AA43" s="2939">
        <f t="shared" si="15"/>
        <v>1</v>
      </c>
      <c r="AB43" s="2939">
        <f t="shared" si="16"/>
        <v>1</v>
      </c>
      <c r="AC43" s="2939">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76"/>
      <c r="Q44" s="2926">
        <f t="shared" si="11"/>
        <v>111</v>
      </c>
      <c r="R44" s="770" t="s">
        <v>21</v>
      </c>
      <c r="S44" s="771">
        <f t="shared" si="12"/>
        <v>100</v>
      </c>
      <c r="T44" s="770" t="s">
        <v>21</v>
      </c>
      <c r="U44" s="771">
        <f t="shared" si="13"/>
        <v>100</v>
      </c>
      <c r="V44" s="770" t="s">
        <v>21</v>
      </c>
      <c r="W44" s="771">
        <f t="shared" si="14"/>
        <v>100</v>
      </c>
      <c r="X44" s="772"/>
      <c r="Y44" s="3178"/>
      <c r="Z44" s="2927">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76"/>
      <c r="Q45" s="2938">
        <f t="shared" si="11"/>
        <v>111</v>
      </c>
      <c r="R45" s="774" t="s">
        <v>21</v>
      </c>
      <c r="S45" s="775">
        <f t="shared" si="12"/>
        <v>100</v>
      </c>
      <c r="T45" s="774" t="s">
        <v>21</v>
      </c>
      <c r="U45" s="775">
        <f t="shared" si="13"/>
        <v>100</v>
      </c>
      <c r="V45" s="774" t="s">
        <v>21</v>
      </c>
      <c r="W45" s="775">
        <f t="shared" si="14"/>
        <v>100</v>
      </c>
      <c r="X45" s="2940"/>
      <c r="Y45" s="3178"/>
      <c r="Z45" s="2941">
        <f t="shared" si="18"/>
        <v>111</v>
      </c>
      <c r="AA45" s="2939">
        <f t="shared" si="15"/>
        <v>1</v>
      </c>
      <c r="AB45" s="2939">
        <f t="shared" si="16"/>
        <v>1</v>
      </c>
      <c r="AC45" s="293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77"/>
      <c r="Q46" s="2938">
        <f t="shared" si="11"/>
        <v>111</v>
      </c>
      <c r="R46" s="774" t="s">
        <v>20</v>
      </c>
      <c r="S46" s="775">
        <f t="shared" si="12"/>
        <v>100</v>
      </c>
      <c r="T46" s="774" t="s">
        <v>20</v>
      </c>
      <c r="U46" s="775">
        <f t="shared" si="13"/>
        <v>100</v>
      </c>
      <c r="V46" s="774" t="s">
        <v>20</v>
      </c>
      <c r="W46" s="775">
        <f t="shared" si="14"/>
        <v>100</v>
      </c>
      <c r="X46" s="2940"/>
      <c r="Y46" s="3179"/>
      <c r="Z46" s="2941">
        <f t="shared" si="18"/>
        <v>111</v>
      </c>
      <c r="AA46" s="2939">
        <f t="shared" si="15"/>
        <v>1</v>
      </c>
      <c r="AB46" s="2939">
        <f t="shared" si="16"/>
        <v>1</v>
      </c>
      <c r="AC46" s="2939">
        <f t="shared" si="17"/>
        <v>1</v>
      </c>
    </row>
    <row r="47" spans="1:29" ht="15">
      <c r="A47" s="479" t="s">
        <v>2577</v>
      </c>
      <c r="B47" s="480"/>
      <c r="C47" s="1409" t="s">
        <v>19</v>
      </c>
      <c r="D47" s="1410"/>
      <c r="E47" s="1411"/>
      <c r="F47" s="1412"/>
      <c r="G47" s="1413"/>
      <c r="H47" s="1414"/>
      <c r="I47" s="1411"/>
      <c r="J47" s="1414"/>
      <c r="K47" s="2621"/>
      <c r="L47" s="1145"/>
      <c r="M47" s="1146"/>
      <c r="N47" s="1133"/>
      <c r="O47" s="1146"/>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2578</v>
      </c>
      <c r="B48" s="487"/>
      <c r="C48" s="1415" t="e">
        <f>R49</f>
        <v>#DIV/0!</v>
      </c>
      <c r="D48" s="1416"/>
      <c r="E48" s="1417" t="e">
        <f>R48</f>
        <v>#DIV/0!</v>
      </c>
      <c r="F48" s="1417"/>
      <c r="G48" s="1415" t="e">
        <f>T48</f>
        <v>#DIV/0!</v>
      </c>
      <c r="H48" s="1416"/>
      <c r="I48" s="1417" t="e">
        <f>V48</f>
        <v>#DIV/0!</v>
      </c>
      <c r="J48" s="1416"/>
      <c r="K48" s="2622"/>
      <c r="L48" s="1145"/>
      <c r="M48" s="1146"/>
      <c r="N48" s="1146"/>
      <c r="O48" s="1146"/>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2579</v>
      </c>
      <c r="B49" s="493"/>
      <c r="C49" s="1418" t="e">
        <f>R49</f>
        <v>#DIV/0!</v>
      </c>
      <c r="D49" s="1419"/>
      <c r="E49" s="1419"/>
      <c r="F49" s="1419"/>
      <c r="G49" s="1419"/>
      <c r="H49" s="1419"/>
      <c r="I49" s="1419"/>
      <c r="J49" s="1419"/>
      <c r="K49" s="2623"/>
      <c r="L49" s="1145"/>
      <c r="M49" s="1146"/>
      <c r="N49" s="1146"/>
      <c r="O49" s="1146"/>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2583</v>
      </c>
      <c r="B57" s="759"/>
      <c r="C57" s="764"/>
      <c r="D57" s="764"/>
      <c r="E57" s="764"/>
      <c r="F57" s="765"/>
      <c r="G57" s="765"/>
      <c r="H57" s="764"/>
      <c r="I57" s="764"/>
      <c r="J57" s="764"/>
      <c r="K57" s="1162"/>
      <c r="L57" s="1163"/>
      <c r="M57" s="1161"/>
      <c r="N57" s="1161"/>
      <c r="O57" s="1161"/>
      <c r="P57" s="2626"/>
      <c r="Q57" s="504"/>
    </row>
    <row r="58" spans="1:29" s="508" customFormat="1" ht="15">
      <c r="A58" s="505" t="s">
        <v>2584</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2588</v>
      </c>
      <c r="B63" s="528" t="s">
        <v>2554</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2097</v>
      </c>
      <c r="C82" s="539" t="s">
        <v>2604</v>
      </c>
      <c r="D82" s="539" t="s">
        <v>2605</v>
      </c>
      <c r="E82" s="539" t="s">
        <v>2606</v>
      </c>
      <c r="F82" s="539" t="s">
        <v>2607</v>
      </c>
      <c r="G82" s="539" t="s">
        <v>2608</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2610</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2611</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2563</v>
      </c>
      <c r="B100" s="528" t="s">
        <v>2612</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2614</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2615</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2616</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2617</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2618</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2619</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2574</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2620</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6">
        <v>6</v>
      </c>
      <c r="C139" s="1087">
        <v>96</v>
      </c>
      <c r="D139" s="2648" t="s">
        <v>2631</v>
      </c>
      <c r="E139" s="1088">
        <v>100</v>
      </c>
      <c r="F139" s="1089">
        <v>102.5</v>
      </c>
      <c r="G139" s="2648" t="s">
        <v>2631</v>
      </c>
      <c r="H139" s="1090">
        <v>105</v>
      </c>
      <c r="I139" s="2649" t="s">
        <v>2632</v>
      </c>
      <c r="J139" s="1087">
        <v>20</v>
      </c>
      <c r="K139" s="1091">
        <f>C145/(J139-2)</f>
        <v>4.0555555555555553E-3</v>
      </c>
    </row>
    <row r="140" spans="1:17" ht="15">
      <c r="B140" s="1092">
        <v>5</v>
      </c>
      <c r="C140" s="1093">
        <v>100</v>
      </c>
      <c r="D140" s="1093"/>
      <c r="E140" s="1094"/>
      <c r="F140" s="1095">
        <v>102</v>
      </c>
      <c r="G140" s="1093"/>
      <c r="H140" s="1096"/>
      <c r="I140" s="2650" t="s">
        <v>2633</v>
      </c>
      <c r="J140" s="315">
        <f>ROUNDUP((J139-1)/2,0)</f>
        <v>10</v>
      </c>
      <c r="K140" s="1097">
        <v>100</v>
      </c>
    </row>
    <row r="141" spans="1:17" ht="15">
      <c r="B141" s="1092">
        <v>4</v>
      </c>
      <c r="C141" s="1093">
        <v>102</v>
      </c>
      <c r="D141" s="1093"/>
      <c r="E141" s="1094"/>
      <c r="F141" s="1095">
        <v>101.5</v>
      </c>
      <c r="G141" s="1093"/>
      <c r="H141" s="1096"/>
      <c r="I141" s="2650" t="s">
        <v>2634</v>
      </c>
      <c r="J141" s="315">
        <v>1</v>
      </c>
      <c r="K141" s="1098">
        <f>ROUND(100+(J141-J140)*K139*100,1)</f>
        <v>96.4</v>
      </c>
    </row>
    <row r="142" spans="1:17" ht="15">
      <c r="B142" s="1092">
        <v>3</v>
      </c>
      <c r="C142" s="1093">
        <v>103</v>
      </c>
      <c r="D142" s="1093"/>
      <c r="E142" s="1094"/>
      <c r="F142" s="1095">
        <v>101</v>
      </c>
      <c r="G142" s="1093"/>
      <c r="H142" s="1096"/>
      <c r="I142" s="2650" t="s">
        <v>2635</v>
      </c>
      <c r="J142" s="315">
        <f>J139</f>
        <v>20</v>
      </c>
      <c r="K142" s="1099">
        <v>95</v>
      </c>
    </row>
    <row r="143" spans="1:17" ht="15">
      <c r="B143" s="1092">
        <v>2</v>
      </c>
      <c r="C143" s="1093">
        <v>100</v>
      </c>
      <c r="D143" s="1093"/>
      <c r="E143" s="1094"/>
      <c r="F143" s="1095">
        <v>100.5</v>
      </c>
      <c r="G143" s="1093"/>
      <c r="H143" s="1096"/>
      <c r="I143" s="2650" t="s">
        <v>2636</v>
      </c>
      <c r="J143" s="1093">
        <v>15</v>
      </c>
      <c r="K143" s="1098">
        <f>ROUND(100+(J143-J140)*K139*100,1)</f>
        <v>102</v>
      </c>
    </row>
    <row r="144" spans="1:17" ht="15">
      <c r="B144" s="1092">
        <v>1</v>
      </c>
      <c r="C144" s="1093">
        <v>98</v>
      </c>
      <c r="D144" s="2651" t="s">
        <v>2637</v>
      </c>
      <c r="E144" s="1094">
        <v>102</v>
      </c>
      <c r="F144" s="1100">
        <v>100</v>
      </c>
      <c r="G144" s="2651" t="s">
        <v>2637</v>
      </c>
      <c r="H144" s="1096">
        <v>105</v>
      </c>
      <c r="I144" s="2650" t="s">
        <v>2636</v>
      </c>
      <c r="J144" s="1093">
        <v>18</v>
      </c>
      <c r="K144" s="1098">
        <f>ROUND(100+(J144-J140)*K139*100,1)</f>
        <v>103.2</v>
      </c>
    </row>
    <row r="145" spans="2:11" ht="15.75" thickBot="1">
      <c r="B145" s="2652" t="s">
        <v>2638</v>
      </c>
      <c r="C145" s="1101">
        <f>ROUND(MAX(C139:C144)/MIN(C139:C144)-1,3)</f>
        <v>7.2999999999999995E-2</v>
      </c>
      <c r="D145" s="1102"/>
      <c r="E145" s="1102"/>
      <c r="F145" s="2653" t="s">
        <v>2639</v>
      </c>
      <c r="G145" s="2654"/>
      <c r="H145" s="2655"/>
      <c r="I145" s="2656" t="s">
        <v>2636</v>
      </c>
      <c r="J145" s="1103">
        <v>8</v>
      </c>
      <c r="K145" s="1104">
        <f>ROUND(100+(J145-J140)*K139*100,1)</f>
        <v>99.2</v>
      </c>
    </row>
    <row r="147" spans="2:11">
      <c r="B147" s="2637" t="s">
        <v>2640</v>
      </c>
    </row>
    <row r="148" spans="2:11">
      <c r="B148" s="2637" t="s">
        <v>2641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184" t="s">
        <v>1404</v>
      </c>
      <c r="C6" s="1298">
        <f ca="1">ROUND(F6*F8*F7*(1-F9)/10000,0)</f>
        <v>0</v>
      </c>
      <c r="D6" s="164" t="s">
        <v>3034</v>
      </c>
      <c r="E6" s="347" t="s">
        <v>1406</v>
      </c>
      <c r="F6" s="348">
        <f ca="1">INDIRECT("'数据-取费表'!u"&amp;$G$1)</f>
        <v>0</v>
      </c>
      <c r="G6" s="1854"/>
      <c r="H6" s="1293" t="s">
        <v>1035</v>
      </c>
      <c r="I6" s="3184" t="s">
        <v>1404</v>
      </c>
      <c r="J6" s="346">
        <f ca="1">ROUND(M6*M8*M7*(1-M9)/10000,0)</f>
        <v>0</v>
      </c>
      <c r="K6" s="164" t="s">
        <v>3033</v>
      </c>
      <c r="L6" s="347" t="s">
        <v>1406</v>
      </c>
      <c r="M6" s="348">
        <f ca="1">INDIRECT("'数据-取费表'!z"&amp;$G$1)</f>
        <v>0</v>
      </c>
    </row>
    <row r="7" spans="1:37" ht="18" customHeight="1">
      <c r="A7" s="1297"/>
      <c r="B7" s="3185"/>
      <c r="C7" s="1299"/>
      <c r="D7" s="352"/>
      <c r="E7" s="2937" t="s">
        <v>1407</v>
      </c>
      <c r="F7" s="348">
        <f ca="1">IF(INDIRECT("'数据-取费表'!ah"&amp;$G$1)="",INDIRECT("'数据-取费表'!k"&amp;$G$1),INDIRECT("'数据-取费表'!ah"&amp;$G$1))</f>
        <v>0</v>
      </c>
      <c r="G7" s="1854"/>
      <c r="H7" s="349"/>
      <c r="I7" s="3185"/>
      <c r="J7" s="351"/>
      <c r="K7" s="352"/>
      <c r="L7" s="347" t="s">
        <v>1407</v>
      </c>
      <c r="M7" s="348">
        <f ca="1">F7</f>
        <v>0</v>
      </c>
    </row>
    <row r="8" spans="1:37" ht="18" customHeight="1">
      <c r="A8" s="349"/>
      <c r="B8" s="3185"/>
      <c r="C8" s="351"/>
      <c r="D8" s="352"/>
      <c r="E8" s="347" t="s">
        <v>1408</v>
      </c>
      <c r="F8" s="348">
        <f ca="1">INDIRECT("'数据-取费表'!ai"&amp;$G$1)</f>
        <v>0</v>
      </c>
      <c r="G8" s="1854"/>
      <c r="H8" s="349"/>
      <c r="I8" s="3185"/>
      <c r="J8" s="351"/>
      <c r="K8" s="352"/>
      <c r="L8" s="347" t="s">
        <v>1408</v>
      </c>
      <c r="M8" s="348">
        <f ca="1">INDIRECT("'数据-取费表'!ai"&amp;$G$1)</f>
        <v>0</v>
      </c>
    </row>
    <row r="9" spans="1:37" ht="18" customHeight="1">
      <c r="A9" s="349"/>
      <c r="B9" s="3186"/>
      <c r="C9" s="351"/>
      <c r="D9" s="352"/>
      <c r="E9" s="347" t="s">
        <v>1409</v>
      </c>
      <c r="F9" s="357">
        <f ca="1">INDIRECT("'数据-取费表'!w"&amp;$G$1)</f>
        <v>0</v>
      </c>
      <c r="G9" s="1854"/>
      <c r="H9" s="349"/>
      <c r="I9" s="318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0" t="s">
        <v>1420</v>
      </c>
      <c r="E14" s="2928"/>
      <c r="F14" s="364"/>
      <c r="G14" s="1854"/>
      <c r="H14" s="1203" t="s">
        <v>1035</v>
      </c>
      <c r="I14" s="347" t="s">
        <v>1421</v>
      </c>
      <c r="J14" s="24">
        <f ca="1">C29</f>
        <v>0</v>
      </c>
      <c r="K14" s="2936"/>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1"/>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0" t="s">
        <v>1432</v>
      </c>
      <c r="L17" s="2929"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29"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5"/>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5"/>
      <c r="F22" s="26"/>
      <c r="G22" s="1854"/>
      <c r="H22" s="1203" t="s">
        <v>1039</v>
      </c>
      <c r="I22" s="347" t="s">
        <v>1451</v>
      </c>
      <c r="J22" s="24">
        <f ca="1">ROUND(J14*M22,1)</f>
        <v>0</v>
      </c>
      <c r="K22" s="2929"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29"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5"/>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1"/>
      <c r="F30" s="1296"/>
      <c r="G30" s="1854"/>
      <c r="H30" s="745"/>
      <c r="I30" s="746"/>
      <c r="J30" s="747"/>
      <c r="K30" s="748"/>
      <c r="L30" s="749"/>
      <c r="M30" s="750"/>
    </row>
    <row r="31" spans="1:37" ht="18" customHeight="1">
      <c r="A31" s="1203" t="s">
        <v>1035</v>
      </c>
      <c r="B31" s="347" t="s">
        <v>1431</v>
      </c>
      <c r="C31" s="24">
        <f ca="1">ROUND(IF(项目基本情况!B11="自然人",C5*F31,C32+C33+C34),1)</f>
        <v>0</v>
      </c>
      <c r="D31" s="2930" t="s">
        <v>1432</v>
      </c>
      <c r="E31" s="2929"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29"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29"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29"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4">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182" t="s">
        <v>1550</v>
      </c>
      <c r="L53" s="3183"/>
      <c r="O53" s="1887" t="s">
        <v>1046</v>
      </c>
      <c r="P53" s="1888" t="s">
        <v>1551</v>
      </c>
      <c r="Q53" s="1889" t="e">
        <f ca="1">Q47+Q48</f>
        <v>#DIV/0!</v>
      </c>
      <c r="R53" s="1889" t="s">
        <v>1047</v>
      </c>
    </row>
    <row r="54" spans="1:18" s="1845" customFormat="1" ht="13.5" thickBot="1">
      <c r="A54" s="1408"/>
      <c r="B54" s="1828" t="s">
        <v>1389</v>
      </c>
      <c r="C54" s="1180"/>
      <c r="D54" s="1827"/>
      <c r="E54" s="293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3"/>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84"/>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0" t="e">
        <f ca="1">IF(C2="——",IF(B37="元/平方米",ROUND(C39*D3/10000,0),ROUND(F3*C39/10000,0)),IF(B37="元/平方米",ROUND(C39*D3/10000,0),ROUND(F3*C39/10000,0))-D2)</f>
        <v>#DIV/0!</v>
      </c>
      <c r="C2" s="2586"/>
      <c r="D2" s="1126" t="e">
        <f ca="1">SUMIF(INDIRECT("'"&amp;F2&amp;"'"&amp;"!A:A"),"承租人权益价值",INDIRECT("'"&amp;F2&amp;"'"&amp;"!c:c"))</f>
        <v>#REF!</v>
      </c>
      <c r="E2" s="2587" t="s">
        <v>2328</v>
      </c>
      <c r="F2" s="2588"/>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2645</v>
      </c>
      <c r="B4" s="402"/>
      <c r="C4" s="3154" t="s">
        <v>2646</v>
      </c>
      <c r="D4" s="3155"/>
      <c r="E4" s="3156" t="s">
        <v>2647</v>
      </c>
      <c r="F4" s="3157"/>
      <c r="G4" s="3154" t="s">
        <v>2648</v>
      </c>
      <c r="H4" s="3155"/>
      <c r="I4" s="3154" t="s">
        <v>2649</v>
      </c>
      <c r="J4" s="3155"/>
      <c r="K4" s="610" t="s">
        <v>2650</v>
      </c>
      <c r="L4" s="1132"/>
      <c r="M4" s="1133"/>
      <c r="N4" s="1133"/>
      <c r="O4" s="1133"/>
      <c r="P4" s="3158" t="s">
        <v>2651</v>
      </c>
      <c r="Q4" s="3159"/>
      <c r="R4" s="3141" t="s">
        <v>2647</v>
      </c>
      <c r="S4" s="3142"/>
      <c r="T4" s="3141" t="s">
        <v>2648</v>
      </c>
      <c r="U4" s="3142"/>
      <c r="V4" s="3166" t="s">
        <v>2649</v>
      </c>
      <c r="W4" s="3166"/>
      <c r="X4" s="1816"/>
      <c r="Y4" s="3141" t="s">
        <v>2651</v>
      </c>
      <c r="Z4" s="3142"/>
      <c r="AA4" s="3136" t="s">
        <v>2647</v>
      </c>
      <c r="AB4" s="3137" t="s">
        <v>2648</v>
      </c>
      <c r="AC4" s="3136" t="s">
        <v>2649</v>
      </c>
    </row>
    <row r="5" spans="1:29" ht="15">
      <c r="A5" s="404"/>
      <c r="B5" s="405"/>
      <c r="C5" s="3147" t="s">
        <v>2542</v>
      </c>
      <c r="D5" s="3148"/>
      <c r="E5" s="3145" t="s">
        <v>2543</v>
      </c>
      <c r="F5" s="3146"/>
      <c r="G5" s="3147" t="s">
        <v>2544</v>
      </c>
      <c r="H5" s="3148"/>
      <c r="I5" s="3147" t="s">
        <v>2545</v>
      </c>
      <c r="J5" s="3148"/>
      <c r="K5" s="610"/>
      <c r="L5" s="1132"/>
      <c r="M5" s="1133"/>
      <c r="N5" s="1133"/>
      <c r="O5" s="1133"/>
      <c r="P5" s="3160"/>
      <c r="Q5" s="3161"/>
      <c r="R5" s="3143"/>
      <c r="S5" s="3144"/>
      <c r="T5" s="3143"/>
      <c r="U5" s="3144"/>
      <c r="V5" s="3166"/>
      <c r="W5" s="3166"/>
      <c r="X5" s="1816"/>
      <c r="Y5" s="3143"/>
      <c r="Z5" s="3144"/>
      <c r="AA5" s="3137"/>
      <c r="AB5" s="3137"/>
      <c r="AC5" s="3137"/>
    </row>
    <row r="6" spans="1:29" ht="15.75" thickBot="1">
      <c r="A6" s="406"/>
      <c r="B6" s="407"/>
      <c r="C6" s="3149" t="s">
        <v>2546</v>
      </c>
      <c r="D6" s="3150"/>
      <c r="E6" s="3151" t="s">
        <v>2546</v>
      </c>
      <c r="F6" s="3152"/>
      <c r="G6" s="3149" t="s">
        <v>2546</v>
      </c>
      <c r="H6" s="3150"/>
      <c r="I6" s="3149" t="s">
        <v>2546</v>
      </c>
      <c r="J6" s="3150"/>
      <c r="K6" s="610" t="s">
        <v>2547</v>
      </c>
      <c r="L6" s="1132"/>
      <c r="M6" s="1133"/>
      <c r="N6" s="1133"/>
      <c r="O6" s="1133"/>
      <c r="P6" s="3162"/>
      <c r="Q6" s="3163"/>
      <c r="R6" s="3143"/>
      <c r="S6" s="3144"/>
      <c r="T6" s="3164"/>
      <c r="U6" s="3165"/>
      <c r="V6" s="3166"/>
      <c r="W6" s="3166"/>
      <c r="X6" s="1816"/>
      <c r="Y6" s="3164"/>
      <c r="Z6" s="3165"/>
      <c r="AA6" s="3138"/>
      <c r="AB6" s="3138"/>
      <c r="AC6" s="3138"/>
    </row>
    <row r="7" spans="1:29" s="117" customFormat="1" ht="15.75" thickBot="1">
      <c r="A7" s="408" t="s">
        <v>2548</v>
      </c>
      <c r="B7" s="409"/>
      <c r="C7" s="410">
        <f>'数据-取费表'!B2</f>
        <v>43102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39" t="s">
        <v>2549</v>
      </c>
      <c r="Q7" s="3167"/>
      <c r="R7" s="770" t="s">
        <v>17</v>
      </c>
      <c r="S7" s="771">
        <f t="shared" ref="S7:S14" si="0">F7</f>
        <v>0</v>
      </c>
      <c r="T7" s="770" t="s">
        <v>17</v>
      </c>
      <c r="U7" s="771">
        <f t="shared" ref="U7:U14" si="1">H7</f>
        <v>0</v>
      </c>
      <c r="V7" s="770" t="s">
        <v>17</v>
      </c>
      <c r="W7" s="771">
        <f t="shared" ref="W7:W14" si="2">J7</f>
        <v>0</v>
      </c>
      <c r="X7" s="772"/>
      <c r="Y7" s="3139" t="s">
        <v>2549</v>
      </c>
      <c r="Z7" s="3140"/>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39" t="s">
        <v>2552</v>
      </c>
      <c r="Q8" s="3140"/>
      <c r="R8" s="770" t="s">
        <v>17</v>
      </c>
      <c r="S8" s="771">
        <f t="shared" si="0"/>
        <v>0</v>
      </c>
      <c r="T8" s="770" t="s">
        <v>17</v>
      </c>
      <c r="U8" s="771">
        <f t="shared" si="1"/>
        <v>0</v>
      </c>
      <c r="V8" s="770" t="s">
        <v>17</v>
      </c>
      <c r="W8" s="771">
        <f t="shared" si="2"/>
        <v>0</v>
      </c>
      <c r="X8" s="772"/>
      <c r="Y8" s="3139" t="s">
        <v>2552</v>
      </c>
      <c r="Z8" s="3140"/>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71" t="s">
        <v>2555</v>
      </c>
      <c r="Q9" s="1798" t="str">
        <f t="shared" ref="Q9:Q14" si="6">B9</f>
        <v>用途</v>
      </c>
      <c r="R9" s="770" t="s">
        <v>17</v>
      </c>
      <c r="S9" s="771">
        <f t="shared" si="0"/>
        <v>100</v>
      </c>
      <c r="T9" s="770" t="s">
        <v>17</v>
      </c>
      <c r="U9" s="771">
        <f t="shared" si="1"/>
        <v>100</v>
      </c>
      <c r="V9" s="770" t="s">
        <v>17</v>
      </c>
      <c r="W9" s="771">
        <f t="shared" si="2"/>
        <v>100</v>
      </c>
      <c r="X9" s="772"/>
      <c r="Y9" s="3013"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71"/>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1"/>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1"/>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1"/>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3" t="s">
        <v>2560</v>
      </c>
      <c r="Q14" s="1813" t="str">
        <f t="shared" si="6"/>
        <v>交通便捷度</v>
      </c>
      <c r="R14" s="774" t="s">
        <v>17</v>
      </c>
      <c r="S14" s="775">
        <f t="shared" si="0"/>
        <v>100</v>
      </c>
      <c r="T14" s="774" t="s">
        <v>17</v>
      </c>
      <c r="U14" s="775">
        <f t="shared" si="1"/>
        <v>100</v>
      </c>
      <c r="V14" s="774" t="s">
        <v>17</v>
      </c>
      <c r="W14" s="775">
        <f t="shared" si="2"/>
        <v>100</v>
      </c>
      <c r="X14" s="1816"/>
      <c r="Y14" s="3173"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74"/>
      <c r="Q15" s="1813"/>
      <c r="R15" s="774"/>
      <c r="S15" s="775"/>
      <c r="T15" s="774"/>
      <c r="U15" s="775"/>
      <c r="V15" s="774"/>
      <c r="W15" s="775"/>
      <c r="X15" s="1816"/>
      <c r="Y15" s="3174"/>
      <c r="Z15" s="1817"/>
      <c r="AA15" s="1814">
        <v>1</v>
      </c>
      <c r="AB15" s="1814">
        <v>1</v>
      </c>
      <c r="AC15" s="1814">
        <v>1</v>
      </c>
    </row>
    <row r="16" spans="1:29" ht="42.75">
      <c r="A16" s="404"/>
      <c r="B16" s="631" t="s">
        <v>2688</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2"/>
      <c r="M17" s="1133"/>
      <c r="N17" s="1133"/>
      <c r="O17" s="1133"/>
      <c r="P17" s="3174"/>
      <c r="Q17" s="1813"/>
      <c r="R17" s="774"/>
      <c r="S17" s="775"/>
      <c r="T17" s="774"/>
      <c r="U17" s="775"/>
      <c r="V17" s="774"/>
      <c r="W17" s="775"/>
      <c r="X17" s="1816"/>
      <c r="Y17" s="3174"/>
      <c r="Z17" s="1817"/>
      <c r="AA17" s="1814">
        <v>1</v>
      </c>
      <c r="AB17" s="1814">
        <v>1</v>
      </c>
      <c r="AC17" s="1814">
        <v>1</v>
      </c>
    </row>
    <row r="18" spans="1:29" ht="28.5">
      <c r="A18" s="404"/>
      <c r="B18" s="633" t="s">
        <v>2689</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5"/>
      <c r="L19" s="1142"/>
      <c r="M19" s="1133"/>
      <c r="N19" s="1133"/>
      <c r="O19" s="1133"/>
      <c r="P19" s="3174"/>
      <c r="Q19" s="1813"/>
      <c r="R19" s="774"/>
      <c r="S19" s="775"/>
      <c r="T19" s="774"/>
      <c r="U19" s="775"/>
      <c r="V19" s="774"/>
      <c r="W19" s="775"/>
      <c r="X19" s="1816"/>
      <c r="Y19" s="3174"/>
      <c r="Z19" s="1817"/>
      <c r="AA19" s="1814">
        <v>1</v>
      </c>
      <c r="AB19" s="1814">
        <v>1</v>
      </c>
      <c r="AC19" s="1814">
        <v>1</v>
      </c>
    </row>
    <row r="20" spans="1:29" ht="57">
      <c r="A20" s="404"/>
      <c r="B20" s="631" t="s">
        <v>2710</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74"/>
      <c r="Q21" s="1813"/>
      <c r="R21" s="774"/>
      <c r="S21" s="775"/>
      <c r="T21" s="774"/>
      <c r="U21" s="775"/>
      <c r="V21" s="774"/>
      <c r="W21" s="775"/>
      <c r="X21" s="1816"/>
      <c r="Y21" s="3174"/>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4"/>
      <c r="Q24" s="1813">
        <f t="shared" ref="Q24:Q36"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24"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8" t="s">
        <v>2565</v>
      </c>
      <c r="Q32" s="1813" t="str">
        <f t="shared" si="11"/>
        <v>车位类型</v>
      </c>
      <c r="R32" s="774" t="s">
        <v>17</v>
      </c>
      <c r="S32" s="775">
        <f t="shared" si="12"/>
        <v>100</v>
      </c>
      <c r="T32" s="774" t="s">
        <v>17</v>
      </c>
      <c r="U32" s="775">
        <f t="shared" si="13"/>
        <v>100</v>
      </c>
      <c r="V32" s="774" t="s">
        <v>17</v>
      </c>
      <c r="W32" s="775">
        <f t="shared" si="14"/>
        <v>100</v>
      </c>
      <c r="X32" s="1816"/>
      <c r="Y32" s="3178"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2720</v>
      </c>
      <c r="B37" s="2695" t="s">
        <v>2721</v>
      </c>
      <c r="C37" s="1409" t="s">
        <v>1</v>
      </c>
      <c r="D37" s="1410"/>
      <c r="E37" s="1411">
        <v>7000</v>
      </c>
      <c r="F37" s="1412"/>
      <c r="G37" s="1413">
        <v>7000</v>
      </c>
      <c r="H37" s="1414"/>
      <c r="I37" s="1411">
        <v>7000</v>
      </c>
      <c r="J37" s="1414"/>
      <c r="K37" s="619"/>
      <c r="L37" s="1145"/>
      <c r="M37" s="1146"/>
      <c r="N37" s="1133"/>
      <c r="O37" s="1146"/>
      <c r="P37" s="3171" t="str">
        <f>A37</f>
        <v>成交单价</v>
      </c>
      <c r="Q37" s="3171"/>
      <c r="R37" s="3172">
        <f>E37</f>
        <v>7000</v>
      </c>
      <c r="S37" s="3172"/>
      <c r="T37" s="3172">
        <f>G37</f>
        <v>7000</v>
      </c>
      <c r="U37" s="3172"/>
      <c r="V37" s="3172">
        <f>I37</f>
        <v>7000</v>
      </c>
      <c r="W37" s="3172"/>
      <c r="X37" s="759"/>
      <c r="Y37" s="781"/>
      <c r="Z37" s="759"/>
      <c r="AA37" s="759"/>
      <c r="AB37" s="759"/>
      <c r="AC37" s="759"/>
    </row>
    <row r="38" spans="1:29" ht="15.75" thickBot="1">
      <c r="A38" s="486" t="s">
        <v>2722</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2723</v>
      </c>
      <c r="B39" s="493"/>
      <c r="C39" s="1419" t="e">
        <f>R39</f>
        <v>#DIV/0!</v>
      </c>
      <c r="D39" s="1419"/>
      <c r="E39" s="1419"/>
      <c r="F39" s="1419"/>
      <c r="G39" s="1419"/>
      <c r="H39" s="1419"/>
      <c r="I39" s="1419"/>
      <c r="J39" s="1419"/>
      <c r="K39" s="621"/>
      <c r="L39" s="1145"/>
      <c r="M39" s="1146"/>
      <c r="N39" s="1146"/>
      <c r="O39" s="1146"/>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2726</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2728</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2585</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2550</v>
      </c>
      <c r="B51" s="510"/>
      <c r="C51" s="522" t="s">
        <v>2652</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2588</v>
      </c>
      <c r="B53" s="528" t="s">
        <v>2554</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2603</v>
      </c>
      <c r="C65" s="578" t="s">
        <v>2597</v>
      </c>
      <c r="D65" s="578" t="s">
        <v>2598</v>
      </c>
      <c r="E65" s="578" t="s">
        <v>2599</v>
      </c>
      <c r="F65" s="578" t="s">
        <v>2600</v>
      </c>
      <c r="G65" s="578" t="s">
        <v>2601</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2689</v>
      </c>
      <c r="C67" s="660" t="s">
        <v>2675</v>
      </c>
      <c r="D67" s="660" t="s">
        <v>2676</v>
      </c>
      <c r="E67" s="660" t="s">
        <v>2677</v>
      </c>
      <c r="F67" s="660" t="s">
        <v>2678</v>
      </c>
      <c r="G67" s="660" t="s">
        <v>2679</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2609</v>
      </c>
      <c r="C69" s="578" t="s">
        <v>2597</v>
      </c>
      <c r="D69" s="578" t="s">
        <v>2598</v>
      </c>
      <c r="E69" s="578" t="s">
        <v>2599</v>
      </c>
      <c r="F69" s="578" t="s">
        <v>2600</v>
      </c>
      <c r="G69" s="578" t="s">
        <v>2601</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2729</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2563</v>
      </c>
      <c r="B79" s="528" t="s">
        <v>2730</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2731</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2616</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2733</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2735</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2736</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184" t="s">
        <v>1404</v>
      </c>
      <c r="C6" s="1298">
        <f ca="1">ROUND(F6*F8*F7*(1-F9)/10000,0)</f>
        <v>0</v>
      </c>
      <c r="D6" s="164" t="s">
        <v>3034</v>
      </c>
      <c r="E6" s="347" t="s">
        <v>1406</v>
      </c>
      <c r="F6" s="348">
        <f ca="1">INDIRECT("'数据-取费表'!u"&amp;$G$1)</f>
        <v>0</v>
      </c>
      <c r="G6" s="1854"/>
      <c r="H6" s="1293" t="s">
        <v>1035</v>
      </c>
      <c r="I6" s="3184" t="s">
        <v>1404</v>
      </c>
      <c r="J6" s="346">
        <f ca="1">ROUND(M6*M8*M7*(1-M9)/10000,0)</f>
        <v>0</v>
      </c>
      <c r="K6" s="164" t="s">
        <v>3033</v>
      </c>
      <c r="L6" s="347" t="s">
        <v>1406</v>
      </c>
      <c r="M6" s="348">
        <f ca="1">INDIRECT("'数据-取费表'!z"&amp;$G$1)</f>
        <v>0</v>
      </c>
    </row>
    <row r="7" spans="1:37" ht="18" customHeight="1">
      <c r="A7" s="1297"/>
      <c r="B7" s="3185"/>
      <c r="C7" s="1299"/>
      <c r="D7" s="352"/>
      <c r="E7" s="2937" t="s">
        <v>1407</v>
      </c>
      <c r="F7" s="348">
        <f ca="1">IF(INDIRECT("'数据-取费表'!ah"&amp;$G$1)="",INDIRECT("'数据-取费表'!k"&amp;$G$1),INDIRECT("'数据-取费表'!ah"&amp;$G$1))</f>
        <v>0</v>
      </c>
      <c r="G7" s="1854"/>
      <c r="H7" s="349"/>
      <c r="I7" s="3185"/>
      <c r="J7" s="351"/>
      <c r="K7" s="352"/>
      <c r="L7" s="347" t="s">
        <v>1407</v>
      </c>
      <c r="M7" s="348">
        <f ca="1">F7</f>
        <v>0</v>
      </c>
    </row>
    <row r="8" spans="1:37" ht="18" customHeight="1">
      <c r="A8" s="349"/>
      <c r="B8" s="3185"/>
      <c r="C8" s="351"/>
      <c r="D8" s="352"/>
      <c r="E8" s="347" t="s">
        <v>1408</v>
      </c>
      <c r="F8" s="348">
        <f ca="1">INDIRECT("'数据-取费表'!ai"&amp;$G$1)</f>
        <v>0</v>
      </c>
      <c r="G8" s="1854"/>
      <c r="H8" s="349"/>
      <c r="I8" s="3185"/>
      <c r="J8" s="351"/>
      <c r="K8" s="352"/>
      <c r="L8" s="347" t="s">
        <v>1408</v>
      </c>
      <c r="M8" s="348">
        <f ca="1">INDIRECT("'数据-取费表'!ai"&amp;$G$1)</f>
        <v>0</v>
      </c>
    </row>
    <row r="9" spans="1:37" ht="18" customHeight="1">
      <c r="A9" s="349"/>
      <c r="B9" s="3186"/>
      <c r="C9" s="351"/>
      <c r="D9" s="352"/>
      <c r="E9" s="347" t="s">
        <v>1409</v>
      </c>
      <c r="F9" s="357">
        <f ca="1">INDIRECT("'数据-取费表'!w"&amp;$G$1)</f>
        <v>0</v>
      </c>
      <c r="G9" s="1854"/>
      <c r="H9" s="349"/>
      <c r="I9" s="318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0" t="s">
        <v>1420</v>
      </c>
      <c r="E14" s="2928"/>
      <c r="F14" s="364"/>
      <c r="G14" s="1854"/>
      <c r="H14" s="1203" t="s">
        <v>1035</v>
      </c>
      <c r="I14" s="347" t="s">
        <v>1421</v>
      </c>
      <c r="J14" s="24">
        <f ca="1">C29</f>
        <v>0</v>
      </c>
      <c r="K14" s="2936"/>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1"/>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0" t="s">
        <v>1432</v>
      </c>
      <c r="L17" s="2929"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29"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5"/>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5"/>
      <c r="F22" s="26"/>
      <c r="G22" s="1854"/>
      <c r="H22" s="1203" t="s">
        <v>1039</v>
      </c>
      <c r="I22" s="347" t="s">
        <v>1451</v>
      </c>
      <c r="J22" s="24">
        <f ca="1">ROUND(J14*M22,1)</f>
        <v>0</v>
      </c>
      <c r="K22" s="2929"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29"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5"/>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1"/>
      <c r="F30" s="1296"/>
      <c r="G30" s="1854"/>
      <c r="H30" s="745"/>
      <c r="I30" s="746"/>
      <c r="J30" s="747"/>
      <c r="K30" s="748"/>
      <c r="L30" s="749"/>
      <c r="M30" s="750"/>
    </row>
    <row r="31" spans="1:37" ht="18" customHeight="1">
      <c r="A31" s="1203" t="s">
        <v>1035</v>
      </c>
      <c r="B31" s="347" t="s">
        <v>1431</v>
      </c>
      <c r="C31" s="24">
        <f ca="1">ROUND(IF(项目基本情况!B11="自然人",C5*F31,C32+C33+C34),1)</f>
        <v>0</v>
      </c>
      <c r="D31" s="2930" t="s">
        <v>1432</v>
      </c>
      <c r="E31" s="2929"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29"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29"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29"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4">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182" t="s">
        <v>1550</v>
      </c>
      <c r="L53" s="3183"/>
      <c r="O53" s="1887" t="s">
        <v>1046</v>
      </c>
      <c r="P53" s="1888" t="s">
        <v>1551</v>
      </c>
      <c r="Q53" s="1889" t="e">
        <f ca="1">Q47+Q48</f>
        <v>#DIV/0!</v>
      </c>
      <c r="R53" s="1889" t="s">
        <v>1047</v>
      </c>
    </row>
    <row r="54" spans="1:18" s="1845" customFormat="1" ht="13.5" thickBot="1">
      <c r="A54" s="1408"/>
      <c r="B54" s="1828" t="s">
        <v>1389</v>
      </c>
      <c r="C54" s="1180"/>
      <c r="D54" s="1827"/>
      <c r="E54" s="293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3"/>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84"/>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IF(C2="——",ROUND(C37*D3/10000,0),ROUND(C37*D3/10000,0)-D2)</f>
        <v>#DIV/0!</v>
      </c>
      <c r="C2" s="2586"/>
      <c r="D2" s="1126" t="e">
        <f ca="1">SUMIF(INDIRECT("'"&amp;F2&amp;"'"&amp;"!A:A"),"承租人权益价值",INDIRECT("'"&amp;F2&amp;"'"&amp;"!c:c"))</f>
        <v>#REF!</v>
      </c>
      <c r="E2" s="2587" t="s">
        <v>2328</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54" t="s">
        <v>2646</v>
      </c>
      <c r="D4" s="3155"/>
      <c r="E4" s="3156" t="s">
        <v>2647</v>
      </c>
      <c r="F4" s="3157"/>
      <c r="G4" s="3154" t="s">
        <v>2648</v>
      </c>
      <c r="H4" s="3155"/>
      <c r="I4" s="3154" t="s">
        <v>2649</v>
      </c>
      <c r="J4" s="3155"/>
      <c r="K4" s="610" t="s">
        <v>2650</v>
      </c>
      <c r="L4" s="1132"/>
      <c r="M4" s="1133"/>
      <c r="N4" s="1133"/>
      <c r="O4" s="1133"/>
      <c r="P4" s="3158" t="s">
        <v>2651</v>
      </c>
      <c r="Q4" s="3159"/>
      <c r="R4" s="3141" t="s">
        <v>2647</v>
      </c>
      <c r="S4" s="3142"/>
      <c r="T4" s="3141" t="s">
        <v>2648</v>
      </c>
      <c r="U4" s="3142"/>
      <c r="V4" s="3166" t="s">
        <v>2649</v>
      </c>
      <c r="W4" s="3166"/>
      <c r="X4" s="1816"/>
      <c r="Y4" s="3141" t="s">
        <v>2651</v>
      </c>
      <c r="Z4" s="3142"/>
      <c r="AA4" s="3136" t="s">
        <v>2647</v>
      </c>
      <c r="AB4" s="3137" t="s">
        <v>2648</v>
      </c>
      <c r="AC4" s="3136" t="s">
        <v>2649</v>
      </c>
    </row>
    <row r="5" spans="1:29" ht="15">
      <c r="A5" s="404"/>
      <c r="B5" s="405"/>
      <c r="C5" s="3147" t="s">
        <v>2542</v>
      </c>
      <c r="D5" s="3148"/>
      <c r="E5" s="3145" t="s">
        <v>2543</v>
      </c>
      <c r="F5" s="3146"/>
      <c r="G5" s="3147" t="s">
        <v>2544</v>
      </c>
      <c r="H5" s="3148"/>
      <c r="I5" s="3147" t="s">
        <v>2545</v>
      </c>
      <c r="J5" s="3148"/>
      <c r="K5" s="610"/>
      <c r="L5" s="1132"/>
      <c r="M5" s="1133"/>
      <c r="N5" s="1133"/>
      <c r="O5" s="1133"/>
      <c r="P5" s="3160"/>
      <c r="Q5" s="3161"/>
      <c r="R5" s="3143"/>
      <c r="S5" s="3144"/>
      <c r="T5" s="3143"/>
      <c r="U5" s="3144"/>
      <c r="V5" s="3166"/>
      <c r="W5" s="3166"/>
      <c r="X5" s="1816"/>
      <c r="Y5" s="3143"/>
      <c r="Z5" s="3144"/>
      <c r="AA5" s="3137"/>
      <c r="AB5" s="3137"/>
      <c r="AC5" s="3137"/>
    </row>
    <row r="6" spans="1:29" ht="15.75" thickBot="1">
      <c r="A6" s="406"/>
      <c r="B6" s="407"/>
      <c r="C6" s="3149" t="s">
        <v>2546</v>
      </c>
      <c r="D6" s="3150"/>
      <c r="E6" s="3151" t="s">
        <v>2546</v>
      </c>
      <c r="F6" s="3152"/>
      <c r="G6" s="3149" t="s">
        <v>2546</v>
      </c>
      <c r="H6" s="3150"/>
      <c r="I6" s="3149" t="s">
        <v>2546</v>
      </c>
      <c r="J6" s="3150"/>
      <c r="K6" s="610" t="s">
        <v>2547</v>
      </c>
      <c r="L6" s="1132"/>
      <c r="M6" s="1133"/>
      <c r="N6" s="1133"/>
      <c r="O6" s="1133"/>
      <c r="P6" s="3162"/>
      <c r="Q6" s="3163"/>
      <c r="R6" s="3143"/>
      <c r="S6" s="3144"/>
      <c r="T6" s="3164"/>
      <c r="U6" s="3165"/>
      <c r="V6" s="3166"/>
      <c r="W6" s="3166"/>
      <c r="X6" s="1816"/>
      <c r="Y6" s="3164"/>
      <c r="Z6" s="3165"/>
      <c r="AA6" s="3138"/>
      <c r="AB6" s="3138"/>
      <c r="AC6" s="3138"/>
    </row>
    <row r="7" spans="1:29" s="117" customFormat="1" ht="15.75" thickBot="1">
      <c r="A7" s="408" t="s">
        <v>2548</v>
      </c>
      <c r="B7" s="409"/>
      <c r="C7" s="410">
        <f>'数据-取费表'!B2</f>
        <v>43102</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39" t="s">
        <v>2549</v>
      </c>
      <c r="Q7" s="3167"/>
      <c r="R7" s="770" t="s">
        <v>17</v>
      </c>
      <c r="S7" s="771">
        <f t="shared" ref="S7:S14" si="0">F7</f>
        <v>0</v>
      </c>
      <c r="T7" s="770" t="s">
        <v>17</v>
      </c>
      <c r="U7" s="771">
        <f t="shared" ref="U7:U14" si="1">H7</f>
        <v>0</v>
      </c>
      <c r="V7" s="770" t="s">
        <v>17</v>
      </c>
      <c r="W7" s="771">
        <f t="shared" ref="W7:W14" si="2">J7</f>
        <v>0</v>
      </c>
      <c r="X7" s="772"/>
      <c r="Y7" s="3139" t="s">
        <v>2549</v>
      </c>
      <c r="Z7" s="3140"/>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39" t="s">
        <v>2552</v>
      </c>
      <c r="Q8" s="3140"/>
      <c r="R8" s="770" t="s">
        <v>17</v>
      </c>
      <c r="S8" s="771">
        <f t="shared" si="0"/>
        <v>0</v>
      </c>
      <c r="T8" s="770" t="s">
        <v>17</v>
      </c>
      <c r="U8" s="771">
        <f t="shared" si="1"/>
        <v>0</v>
      </c>
      <c r="V8" s="770" t="s">
        <v>17</v>
      </c>
      <c r="W8" s="771">
        <f t="shared" si="2"/>
        <v>0</v>
      </c>
      <c r="X8" s="772"/>
      <c r="Y8" s="3139" t="s">
        <v>2552</v>
      </c>
      <c r="Z8" s="3140"/>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71" t="s">
        <v>2555</v>
      </c>
      <c r="Q9" s="1798" t="str">
        <f t="shared" ref="Q9:Q14" si="6">B9</f>
        <v>用途</v>
      </c>
      <c r="R9" s="770" t="s">
        <v>17</v>
      </c>
      <c r="S9" s="771">
        <f t="shared" si="0"/>
        <v>100</v>
      </c>
      <c r="T9" s="770" t="s">
        <v>17</v>
      </c>
      <c r="U9" s="771">
        <f t="shared" si="1"/>
        <v>100</v>
      </c>
      <c r="V9" s="770" t="s">
        <v>17</v>
      </c>
      <c r="W9" s="771">
        <f t="shared" si="2"/>
        <v>100</v>
      </c>
      <c r="X9" s="772"/>
      <c r="Y9" s="3013"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71"/>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1"/>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1"/>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171"/>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3" t="s">
        <v>2560</v>
      </c>
      <c r="Q14" s="1813" t="str">
        <f t="shared" si="6"/>
        <v>交通便捷度</v>
      </c>
      <c r="R14" s="774" t="s">
        <v>17</v>
      </c>
      <c r="S14" s="775">
        <f t="shared" si="0"/>
        <v>100</v>
      </c>
      <c r="T14" s="774" t="s">
        <v>17</v>
      </c>
      <c r="U14" s="775">
        <f t="shared" si="1"/>
        <v>100</v>
      </c>
      <c r="V14" s="774" t="s">
        <v>17</v>
      </c>
      <c r="W14" s="775">
        <f t="shared" si="2"/>
        <v>100</v>
      </c>
      <c r="X14" s="1816"/>
      <c r="Y14" s="3173"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74"/>
      <c r="Q15" s="1813"/>
      <c r="R15" s="774"/>
      <c r="S15" s="775"/>
      <c r="T15" s="774"/>
      <c r="U15" s="775"/>
      <c r="V15" s="774"/>
      <c r="W15" s="775"/>
      <c r="X15" s="1816"/>
      <c r="Y15" s="3174"/>
      <c r="Z15" s="1817"/>
      <c r="AA15" s="1814">
        <v>1</v>
      </c>
      <c r="AB15" s="1814">
        <v>1</v>
      </c>
      <c r="AC15" s="1814">
        <v>1</v>
      </c>
    </row>
    <row r="16" spans="1:29" ht="42.75">
      <c r="A16" s="428"/>
      <c r="B16" s="451" t="s">
        <v>2688</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2"/>
      <c r="M17" s="1133"/>
      <c r="N17" s="1133"/>
      <c r="O17" s="1141"/>
      <c r="P17" s="3174"/>
      <c r="Q17" s="1813"/>
      <c r="R17" s="774"/>
      <c r="S17" s="775"/>
      <c r="T17" s="774"/>
      <c r="U17" s="775"/>
      <c r="V17" s="774"/>
      <c r="W17" s="775"/>
      <c r="X17" s="1816"/>
      <c r="Y17" s="3174"/>
      <c r="Z17" s="1817"/>
      <c r="AA17" s="1814">
        <v>1</v>
      </c>
      <c r="AB17" s="1814">
        <v>1</v>
      </c>
      <c r="AC17" s="1814">
        <v>1</v>
      </c>
    </row>
    <row r="18" spans="1:29" ht="28.5">
      <c r="A18" s="428"/>
      <c r="B18" s="1386" t="s">
        <v>2689</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28"/>
      <c r="B19" s="1386"/>
      <c r="C19" s="2608"/>
      <c r="D19" s="450"/>
      <c r="E19" s="2608"/>
      <c r="F19" s="453"/>
      <c r="G19" s="2608"/>
      <c r="H19" s="448"/>
      <c r="I19" s="447"/>
      <c r="J19" s="448"/>
      <c r="K19" s="1385"/>
      <c r="L19" s="1142"/>
      <c r="M19" s="1133"/>
      <c r="N19" s="1133"/>
      <c r="O19" s="1141"/>
      <c r="P19" s="3174"/>
      <c r="Q19" s="1813"/>
      <c r="R19" s="774"/>
      <c r="S19" s="775"/>
      <c r="T19" s="774"/>
      <c r="U19" s="775"/>
      <c r="V19" s="774"/>
      <c r="W19" s="775"/>
      <c r="X19" s="1816"/>
      <c r="Y19" s="3174"/>
      <c r="Z19" s="1817"/>
      <c r="AA19" s="1814">
        <v>1</v>
      </c>
      <c r="AB19" s="1814">
        <v>1</v>
      </c>
      <c r="AC19" s="1814">
        <v>1</v>
      </c>
    </row>
    <row r="20" spans="1:29" ht="57">
      <c r="A20" s="428"/>
      <c r="B20" s="451" t="s">
        <v>2710</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74"/>
      <c r="Q21" s="1813"/>
      <c r="R21" s="774"/>
      <c r="S21" s="775"/>
      <c r="T21" s="774"/>
      <c r="U21" s="775"/>
      <c r="V21" s="774"/>
      <c r="W21" s="775"/>
      <c r="X21" s="1816"/>
      <c r="Y21" s="3174"/>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4"/>
      <c r="Q24" s="1813">
        <f t="shared" ref="Q24:Q34"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24"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8" t="s">
        <v>2565</v>
      </c>
      <c r="Q32" s="1813">
        <f t="shared" si="11"/>
        <v>111</v>
      </c>
      <c r="R32" s="774" t="s">
        <v>17</v>
      </c>
      <c r="S32" s="775">
        <f t="shared" si="12"/>
        <v>100</v>
      </c>
      <c r="T32" s="774" t="s">
        <v>17</v>
      </c>
      <c r="U32" s="775">
        <f t="shared" si="13"/>
        <v>100</v>
      </c>
      <c r="V32" s="774" t="s">
        <v>17</v>
      </c>
      <c r="W32" s="775">
        <f t="shared" si="14"/>
        <v>100</v>
      </c>
      <c r="X32" s="1816"/>
      <c r="Y32" s="3178" t="s">
        <v>2565</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2577</v>
      </c>
      <c r="B35" s="480"/>
      <c r="C35" s="1409" t="s">
        <v>1</v>
      </c>
      <c r="D35" s="1410"/>
      <c r="E35" s="1411"/>
      <c r="F35" s="1412"/>
      <c r="G35" s="1413"/>
      <c r="H35" s="1414"/>
      <c r="I35" s="1411"/>
      <c r="J35" s="1414"/>
      <c r="K35" s="783"/>
      <c r="L35" s="1145"/>
      <c r="M35" s="1146"/>
      <c r="N35" s="1133"/>
      <c r="O35" s="1146"/>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2669</v>
      </c>
      <c r="B36" s="487"/>
      <c r="C36" s="1415" t="e">
        <f>R37</f>
        <v>#DIV/0!</v>
      </c>
      <c r="D36" s="1416"/>
      <c r="E36" s="1417" t="e">
        <f>R36</f>
        <v>#DIV/0!</v>
      </c>
      <c r="F36" s="1417"/>
      <c r="G36" s="1415" t="e">
        <f>T36</f>
        <v>#DIV/0!</v>
      </c>
      <c r="H36" s="1416"/>
      <c r="I36" s="1417" t="e">
        <f>V36</f>
        <v>#DIV/0!</v>
      </c>
      <c r="J36" s="1416"/>
      <c r="K36" s="784"/>
      <c r="L36" s="1145"/>
      <c r="M36" s="1146"/>
      <c r="N36" s="1133"/>
      <c r="O36" s="1146"/>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2670</v>
      </c>
      <c r="B37" s="493"/>
      <c r="C37" s="1419" t="e">
        <f>R37</f>
        <v>#DIV/0!</v>
      </c>
      <c r="D37" s="1419"/>
      <c r="E37" s="1419"/>
      <c r="F37" s="1419"/>
      <c r="G37" s="1419"/>
      <c r="H37" s="1419"/>
      <c r="I37" s="1419"/>
      <c r="J37" s="1419"/>
      <c r="K37" s="785"/>
      <c r="L37" s="1145"/>
      <c r="M37" s="1146"/>
      <c r="N37" s="1146"/>
      <c r="O37" s="1146"/>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2588</v>
      </c>
      <c r="B51" s="528" t="s">
        <v>2554</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2729</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2563</v>
      </c>
      <c r="B77" s="528" t="s">
        <v>2616</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2733</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2741</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2743</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2645</v>
      </c>
      <c r="B4" s="402"/>
      <c r="C4" s="3154" t="s">
        <v>2646</v>
      </c>
      <c r="D4" s="3155"/>
      <c r="E4" s="3156" t="s">
        <v>2647</v>
      </c>
      <c r="F4" s="3157"/>
      <c r="G4" s="3154" t="s">
        <v>2648</v>
      </c>
      <c r="H4" s="3155"/>
      <c r="I4" s="3154" t="s">
        <v>2649</v>
      </c>
      <c r="J4" s="3155"/>
      <c r="K4" s="610" t="s">
        <v>2650</v>
      </c>
      <c r="L4" s="1132"/>
      <c r="M4" s="1133"/>
      <c r="N4" s="1133"/>
      <c r="O4" s="1133"/>
      <c r="P4" s="3158" t="s">
        <v>2651</v>
      </c>
      <c r="Q4" s="3159"/>
      <c r="R4" s="3141" t="s">
        <v>2647</v>
      </c>
      <c r="S4" s="3142"/>
      <c r="T4" s="3141" t="s">
        <v>2648</v>
      </c>
      <c r="U4" s="3142"/>
      <c r="V4" s="3166" t="s">
        <v>2649</v>
      </c>
      <c r="W4" s="3166"/>
      <c r="X4" s="1816"/>
      <c r="Y4" s="3141" t="s">
        <v>2651</v>
      </c>
      <c r="Z4" s="3142"/>
      <c r="AA4" s="3136" t="s">
        <v>2647</v>
      </c>
      <c r="AB4" s="3137" t="s">
        <v>2648</v>
      </c>
      <c r="AC4" s="3136" t="s">
        <v>2649</v>
      </c>
    </row>
    <row r="5" spans="1:30" ht="15">
      <c r="A5" s="404"/>
      <c r="B5" s="405"/>
      <c r="C5" s="3147" t="s">
        <v>2542</v>
      </c>
      <c r="D5" s="3148"/>
      <c r="E5" s="3145" t="s">
        <v>2543</v>
      </c>
      <c r="F5" s="3146"/>
      <c r="G5" s="3147" t="s">
        <v>2544</v>
      </c>
      <c r="H5" s="3148"/>
      <c r="I5" s="3147" t="s">
        <v>2545</v>
      </c>
      <c r="J5" s="3148"/>
      <c r="K5" s="610"/>
      <c r="L5" s="1132"/>
      <c r="M5" s="1133"/>
      <c r="N5" s="1133"/>
      <c r="O5" s="1133"/>
      <c r="P5" s="3160"/>
      <c r="Q5" s="3161"/>
      <c r="R5" s="3143"/>
      <c r="S5" s="3144"/>
      <c r="T5" s="3143"/>
      <c r="U5" s="3144"/>
      <c r="V5" s="3166"/>
      <c r="W5" s="3166"/>
      <c r="X5" s="1816"/>
      <c r="Y5" s="3143"/>
      <c r="Z5" s="3144"/>
      <c r="AA5" s="3137"/>
      <c r="AB5" s="3137"/>
      <c r="AC5" s="3137"/>
    </row>
    <row r="6" spans="1:30" ht="15.75" thickBot="1">
      <c r="A6" s="406"/>
      <c r="B6" s="407"/>
      <c r="C6" s="3149" t="s">
        <v>2546</v>
      </c>
      <c r="D6" s="3150"/>
      <c r="E6" s="3151" t="s">
        <v>2546</v>
      </c>
      <c r="F6" s="3152"/>
      <c r="G6" s="3149" t="s">
        <v>2546</v>
      </c>
      <c r="H6" s="3150"/>
      <c r="I6" s="3149" t="s">
        <v>2546</v>
      </c>
      <c r="J6" s="3150"/>
      <c r="K6" s="610" t="s">
        <v>2547</v>
      </c>
      <c r="L6" s="1132"/>
      <c r="M6" s="1133"/>
      <c r="N6" s="1133"/>
      <c r="O6" s="1133"/>
      <c r="P6" s="3162"/>
      <c r="Q6" s="3163"/>
      <c r="R6" s="3143"/>
      <c r="S6" s="3144"/>
      <c r="T6" s="3164"/>
      <c r="U6" s="3165"/>
      <c r="V6" s="3166"/>
      <c r="W6" s="3166"/>
      <c r="X6" s="1816"/>
      <c r="Y6" s="3164"/>
      <c r="Z6" s="3165"/>
      <c r="AA6" s="3138"/>
      <c r="AB6" s="3138"/>
      <c r="AC6" s="3138"/>
    </row>
    <row r="7" spans="1:30" s="117" customFormat="1" ht="15.75" thickBot="1">
      <c r="A7" s="408" t="s">
        <v>2548</v>
      </c>
      <c r="B7" s="409"/>
      <c r="C7" s="410">
        <f>'数据-取费表'!B2</f>
        <v>43102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39" t="s">
        <v>2549</v>
      </c>
      <c r="Q7" s="3167"/>
      <c r="R7" s="770" t="s">
        <v>17</v>
      </c>
      <c r="S7" s="771">
        <f t="shared" ref="S7:S15" si="0">F7</f>
        <v>0</v>
      </c>
      <c r="T7" s="770" t="s">
        <v>17</v>
      </c>
      <c r="U7" s="771">
        <f t="shared" ref="U7:U15" si="1">H7</f>
        <v>0</v>
      </c>
      <c r="V7" s="770" t="s">
        <v>17</v>
      </c>
      <c r="W7" s="771">
        <f t="shared" ref="W7:W15" si="2">J7</f>
        <v>0</v>
      </c>
      <c r="X7" s="772"/>
      <c r="Y7" s="3139" t="s">
        <v>2549</v>
      </c>
      <c r="Z7" s="3140"/>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39" t="s">
        <v>2552</v>
      </c>
      <c r="Q8" s="3140"/>
      <c r="R8" s="770" t="s">
        <v>17</v>
      </c>
      <c r="S8" s="771">
        <f t="shared" si="0"/>
        <v>0</v>
      </c>
      <c r="T8" s="770" t="s">
        <v>17</v>
      </c>
      <c r="U8" s="771">
        <f t="shared" si="1"/>
        <v>0</v>
      </c>
      <c r="V8" s="770" t="s">
        <v>17</v>
      </c>
      <c r="W8" s="771">
        <f t="shared" si="2"/>
        <v>0</v>
      </c>
      <c r="X8" s="772"/>
      <c r="Y8" s="3139" t="s">
        <v>2552</v>
      </c>
      <c r="Z8" s="3140"/>
      <c r="AA8" s="773" t="e">
        <f t="shared" ref="AA8:AA45" si="3">D8/F8</f>
        <v>#DIV/0!</v>
      </c>
      <c r="AB8" s="773" t="e">
        <f t="shared" ref="AB8:AB45" si="4">D8/H8</f>
        <v>#DIV/0!</v>
      </c>
      <c r="AC8" s="773"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171" t="s">
        <v>2555</v>
      </c>
      <c r="Q9" s="1798" t="str">
        <f t="shared" ref="Q9:Q15" si="6">B9</f>
        <v>用途</v>
      </c>
      <c r="R9" s="770" t="s">
        <v>17</v>
      </c>
      <c r="S9" s="771">
        <f t="shared" si="0"/>
        <v>100</v>
      </c>
      <c r="T9" s="770" t="s">
        <v>17</v>
      </c>
      <c r="U9" s="771">
        <f t="shared" si="1"/>
        <v>100</v>
      </c>
      <c r="V9" s="770" t="s">
        <v>17</v>
      </c>
      <c r="W9" s="771">
        <f t="shared" si="2"/>
        <v>100</v>
      </c>
      <c r="X9" s="772"/>
      <c r="Y9" s="3013"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111</v>
      </c>
      <c r="G10" s="463"/>
      <c r="H10" s="136">
        <f>ROUND(100/'数据-取费表'!G16,0)</f>
        <v>111</v>
      </c>
      <c r="I10" s="463"/>
      <c r="J10" s="136">
        <f>ROUND(100/'数据-取费表'!G16,0)</f>
        <v>111</v>
      </c>
      <c r="K10" s="672"/>
      <c r="L10" s="1137"/>
      <c r="M10" s="1138"/>
      <c r="N10" s="1138"/>
      <c r="O10" s="1139"/>
      <c r="P10" s="3171"/>
      <c r="Q10" s="1798" t="str">
        <f t="shared" si="6"/>
        <v>土地使用年限（年）</v>
      </c>
      <c r="R10" s="770" t="s">
        <v>17</v>
      </c>
      <c r="S10" s="771">
        <f t="shared" si="0"/>
        <v>111</v>
      </c>
      <c r="T10" s="770" t="s">
        <v>17</v>
      </c>
      <c r="U10" s="771">
        <f t="shared" si="1"/>
        <v>111</v>
      </c>
      <c r="V10" s="770" t="s">
        <v>17</v>
      </c>
      <c r="W10" s="771">
        <f t="shared" si="2"/>
        <v>111</v>
      </c>
      <c r="X10" s="772"/>
      <c r="Y10" s="3013"/>
      <c r="Z10" s="55" t="str">
        <f t="shared" si="7"/>
        <v>土地使用年限（年）</v>
      </c>
      <c r="AA10" s="773">
        <f t="shared" si="3"/>
        <v>0.90090090090090091</v>
      </c>
      <c r="AB10" s="773">
        <f t="shared" si="4"/>
        <v>0.90090090090090091</v>
      </c>
      <c r="AC10" s="773">
        <f t="shared" si="5"/>
        <v>0.90090090090090091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71"/>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30" s="117" customFormat="1" ht="15">
      <c r="A12" s="431"/>
      <c r="B12" s="2600" t="s">
        <v>2747</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71"/>
      <c r="Q12" s="1798"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71"/>
      <c r="Q13" s="1798">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71"/>
      <c r="Q14" s="1798">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9.75">
      <c r="A15" s="440" t="s">
        <v>2559</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3" t="s">
        <v>2560</v>
      </c>
      <c r="Q15" s="1813" t="str">
        <f t="shared" si="6"/>
        <v>居住社区成熟度</v>
      </c>
      <c r="R15" s="774" t="s">
        <v>17</v>
      </c>
      <c r="S15" s="775">
        <f t="shared" si="0"/>
        <v>100</v>
      </c>
      <c r="T15" s="774" t="s">
        <v>17</v>
      </c>
      <c r="U15" s="775">
        <f t="shared" si="1"/>
        <v>100</v>
      </c>
      <c r="V15" s="774" t="s">
        <v>17</v>
      </c>
      <c r="W15" s="775">
        <f t="shared" si="2"/>
        <v>100</v>
      </c>
      <c r="X15" s="1816"/>
      <c r="Y15" s="3173" t="s">
        <v>2560</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2"/>
      <c r="M16" s="1133"/>
      <c r="N16" s="1133"/>
      <c r="O16" s="1141"/>
      <c r="P16" s="3174"/>
      <c r="Q16" s="1813"/>
      <c r="R16" s="774"/>
      <c r="S16" s="775"/>
      <c r="T16" s="774"/>
      <c r="U16" s="775"/>
      <c r="V16" s="774"/>
      <c r="W16" s="775"/>
      <c r="X16" s="1816"/>
      <c r="Y16" s="3174"/>
      <c r="Z16" s="1817"/>
      <c r="AA16" s="1814">
        <v>1</v>
      </c>
      <c r="AB16" s="1814">
        <v>1</v>
      </c>
      <c r="AC16" s="1814">
        <v>1</v>
      </c>
    </row>
    <row r="17" spans="1:29" ht="71.25">
      <c r="A17" s="428"/>
      <c r="B17" s="451" t="s">
        <v>2653</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74"/>
      <c r="Q17" s="1813" t="str">
        <f>B17</f>
        <v>商业繁华度</v>
      </c>
      <c r="R17" s="774" t="s">
        <v>17</v>
      </c>
      <c r="S17" s="775">
        <f>F17</f>
        <v>100</v>
      </c>
      <c r="T17" s="774" t="s">
        <v>17</v>
      </c>
      <c r="U17" s="775">
        <f>H17</f>
        <v>100</v>
      </c>
      <c r="V17" s="774" t="s">
        <v>17</v>
      </c>
      <c r="W17" s="775">
        <f>J17</f>
        <v>100</v>
      </c>
      <c r="X17" s="1816"/>
      <c r="Y17" s="3174"/>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2"/>
      <c r="M18" s="1133"/>
      <c r="N18" s="1133"/>
      <c r="O18" s="1141"/>
      <c r="P18" s="3174"/>
      <c r="Q18" s="1813"/>
      <c r="R18" s="774"/>
      <c r="S18" s="775"/>
      <c r="T18" s="774"/>
      <c r="U18" s="775"/>
      <c r="V18" s="774"/>
      <c r="W18" s="775"/>
      <c r="X18" s="1816"/>
      <c r="Y18" s="3174"/>
      <c r="Z18" s="1817"/>
      <c r="AA18" s="1814">
        <v>1</v>
      </c>
      <c r="AB18" s="1814">
        <v>1</v>
      </c>
      <c r="AC18" s="1814">
        <v>1</v>
      </c>
    </row>
    <row r="19" spans="1:29" ht="71.25">
      <c r="A19" s="428"/>
      <c r="B19" s="451" t="s">
        <v>2687</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4"/>
      <c r="Q19" s="1813" t="str">
        <f>B19</f>
        <v>办公集聚程度</v>
      </c>
      <c r="R19" s="774" t="s">
        <v>17</v>
      </c>
      <c r="S19" s="775">
        <f>F19</f>
        <v>100</v>
      </c>
      <c r="T19" s="774" t="s">
        <v>17</v>
      </c>
      <c r="U19" s="775">
        <f>H19</f>
        <v>100</v>
      </c>
      <c r="V19" s="774" t="s">
        <v>17</v>
      </c>
      <c r="W19" s="775">
        <f>J19</f>
        <v>100</v>
      </c>
      <c r="X19" s="1816"/>
      <c r="Y19" s="3174"/>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2"/>
      <c r="M20" s="1133"/>
      <c r="N20" s="1133"/>
      <c r="O20" s="1141"/>
      <c r="P20" s="3174"/>
      <c r="Q20" s="1813"/>
      <c r="R20" s="774"/>
      <c r="S20" s="775"/>
      <c r="T20" s="774"/>
      <c r="U20" s="775"/>
      <c r="V20" s="774"/>
      <c r="W20" s="775"/>
      <c r="X20" s="1816"/>
      <c r="Y20" s="3174"/>
      <c r="Z20" s="1817"/>
      <c r="AA20" s="1814">
        <v>1</v>
      </c>
      <c r="AB20" s="1814">
        <v>1</v>
      </c>
      <c r="AC20" s="1814">
        <v>1</v>
      </c>
    </row>
    <row r="21" spans="1:29" ht="85.5">
      <c r="A21" s="428"/>
      <c r="B21" s="451" t="s">
        <v>2709</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74"/>
      <c r="Q21" s="1813" t="str">
        <f>B21</f>
        <v>交通便捷度</v>
      </c>
      <c r="R21" s="774" t="s">
        <v>17</v>
      </c>
      <c r="S21" s="775">
        <f>F21</f>
        <v>100</v>
      </c>
      <c r="T21" s="774" t="s">
        <v>17</v>
      </c>
      <c r="U21" s="775">
        <f>H21</f>
        <v>100</v>
      </c>
      <c r="V21" s="774" t="s">
        <v>17</v>
      </c>
      <c r="W21" s="775">
        <f>J21</f>
        <v>100</v>
      </c>
      <c r="X21" s="1816"/>
      <c r="Y21" s="3174"/>
      <c r="Z21" s="1817" t="str">
        <f>Q21</f>
        <v>交通便捷度</v>
      </c>
      <c r="AA21" s="1814">
        <f t="shared" si="3"/>
        <v>1</v>
      </c>
      <c r="AB21" s="1814">
        <f t="shared" si="4"/>
        <v>1</v>
      </c>
      <c r="AC21" s="1814">
        <f t="shared" si="5"/>
        <v>1</v>
      </c>
    </row>
    <row r="22" spans="1:29" ht="15">
      <c r="A22" s="428"/>
      <c r="B22" s="1386"/>
      <c r="C22" s="447"/>
      <c r="D22" s="450"/>
      <c r="E22" s="2605"/>
      <c r="F22" s="448"/>
      <c r="G22" s="2605"/>
      <c r="H22" s="448"/>
      <c r="I22" s="2604"/>
      <c r="J22" s="448"/>
      <c r="K22" s="672"/>
      <c r="L22" s="1142"/>
      <c r="M22" s="1133"/>
      <c r="N22" s="1133"/>
      <c r="O22" s="1141"/>
      <c r="P22" s="3174"/>
      <c r="Q22" s="1813"/>
      <c r="R22" s="774"/>
      <c r="S22" s="775"/>
      <c r="T22" s="774"/>
      <c r="U22" s="775"/>
      <c r="V22" s="774"/>
      <c r="W22" s="775"/>
      <c r="X22" s="1816"/>
      <c r="Y22" s="3174"/>
      <c r="Z22" s="1817"/>
      <c r="AA22" s="1814">
        <v>1</v>
      </c>
      <c r="AB22" s="1814">
        <v>1</v>
      </c>
      <c r="AC22" s="1814">
        <v>1</v>
      </c>
    </row>
    <row r="23" spans="1:29" ht="15">
      <c r="A23" s="404"/>
      <c r="B23" s="451" t="s">
        <v>2748</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74"/>
      <c r="Q23" s="1813" t="str">
        <f t="shared" ref="Q23:Q37" si="8">B23</f>
        <v>区域土地利用方向</v>
      </c>
      <c r="R23" s="774" t="s">
        <v>17</v>
      </c>
      <c r="S23" s="775">
        <f>F23</f>
        <v>100</v>
      </c>
      <c r="T23" s="774" t="s">
        <v>17</v>
      </c>
      <c r="U23" s="775">
        <f>H23</f>
        <v>100</v>
      </c>
      <c r="V23" s="774" t="s">
        <v>17</v>
      </c>
      <c r="W23" s="775">
        <f>J23</f>
        <v>100</v>
      </c>
      <c r="X23" s="1816"/>
      <c r="Y23" s="3174"/>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1"/>
      <c r="L24" s="1142"/>
      <c r="M24" s="1133"/>
      <c r="N24" s="1133"/>
      <c r="O24" s="1141"/>
      <c r="P24" s="3174"/>
      <c r="Q24" s="1813"/>
      <c r="R24" s="774"/>
      <c r="S24" s="775"/>
      <c r="T24" s="774"/>
      <c r="U24" s="775"/>
      <c r="V24" s="774"/>
      <c r="W24" s="775"/>
      <c r="X24" s="1816"/>
      <c r="Y24" s="3174"/>
      <c r="Z24" s="1817"/>
      <c r="AA24" s="1814"/>
      <c r="AB24" s="1814"/>
      <c r="AC24" s="1814"/>
    </row>
    <row r="25" spans="1:29" ht="57">
      <c r="A25" s="404"/>
      <c r="B25" s="1386" t="s">
        <v>2749</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74"/>
      <c r="Q25" s="1813" t="str">
        <f t="shared" si="8"/>
        <v>自然及人文环境状况</v>
      </c>
      <c r="R25" s="774" t="s">
        <v>17</v>
      </c>
      <c r="S25" s="775">
        <f>F25</f>
        <v>100</v>
      </c>
      <c r="T25" s="774" t="s">
        <v>17</v>
      </c>
      <c r="U25" s="775">
        <f>H25</f>
        <v>100</v>
      </c>
      <c r="V25" s="774" t="s">
        <v>17</v>
      </c>
      <c r="W25" s="775">
        <f>J25</f>
        <v>100</v>
      </c>
      <c r="X25" s="1816"/>
      <c r="Y25" s="3174"/>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2"/>
      <c r="M26" s="1133"/>
      <c r="N26" s="1133"/>
      <c r="O26" s="1141"/>
      <c r="P26" s="3174"/>
      <c r="Q26" s="1813"/>
      <c r="R26" s="774"/>
      <c r="S26" s="775"/>
      <c r="T26" s="774"/>
      <c r="U26" s="775"/>
      <c r="V26" s="774"/>
      <c r="W26" s="775"/>
      <c r="X26" s="1816"/>
      <c r="Y26" s="3174"/>
      <c r="Z26" s="1817"/>
      <c r="AA26" s="1814">
        <v>1</v>
      </c>
      <c r="AB26" s="1814">
        <v>1</v>
      </c>
      <c r="AC26" s="1814">
        <v>1</v>
      </c>
    </row>
    <row r="27" spans="1:29" s="117" customFormat="1" ht="42.75">
      <c r="A27" s="649"/>
      <c r="B27" s="1386" t="s">
        <v>2654</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74"/>
      <c r="Q27" s="1798" t="str">
        <f t="shared" si="8"/>
        <v>公共配套设施</v>
      </c>
      <c r="R27" s="770" t="s">
        <v>17</v>
      </c>
      <c r="S27" s="771">
        <f>F27</f>
        <v>100</v>
      </c>
      <c r="T27" s="770" t="s">
        <v>17</v>
      </c>
      <c r="U27" s="771">
        <f>H27</f>
        <v>100</v>
      </c>
      <c r="V27" s="770" t="s">
        <v>17</v>
      </c>
      <c r="W27" s="771">
        <f>J27</f>
        <v>100</v>
      </c>
      <c r="X27" s="772"/>
      <c r="Y27" s="3174"/>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4"/>
      <c r="M28" s="1135"/>
      <c r="N28" s="1135"/>
      <c r="O28" s="1136"/>
      <c r="P28" s="3174"/>
      <c r="Q28" s="1798"/>
      <c r="R28" s="770"/>
      <c r="S28" s="771"/>
      <c r="T28" s="770"/>
      <c r="U28" s="771"/>
      <c r="V28" s="770"/>
      <c r="W28" s="771"/>
      <c r="X28" s="772"/>
      <c r="Y28" s="3174"/>
      <c r="Z28" s="55"/>
      <c r="AA28" s="1814">
        <v>1</v>
      </c>
      <c r="AB28" s="1814">
        <v>1</v>
      </c>
      <c r="AC28" s="1814">
        <v>1</v>
      </c>
    </row>
    <row r="29" spans="1:29" s="117" customFormat="1" ht="28.5">
      <c r="A29" s="649"/>
      <c r="B29" s="1386" t="s">
        <v>2655</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4"/>
      <c r="Q29" s="1798"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4"/>
      <c r="M30" s="1135"/>
      <c r="N30" s="1135"/>
      <c r="O30" s="1136"/>
      <c r="P30" s="3174"/>
      <c r="Q30" s="1798"/>
      <c r="R30" s="770"/>
      <c r="S30" s="771"/>
      <c r="T30" s="770"/>
      <c r="U30" s="771"/>
      <c r="V30" s="770"/>
      <c r="W30" s="771"/>
      <c r="X30" s="772"/>
      <c r="Y30" s="3174"/>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4"/>
      <c r="Z31" s="1817" t="str">
        <f t="shared" ref="Z31:Z45" si="13">Q31</f>
        <v>临街状况</v>
      </c>
      <c r="AA31" s="1814">
        <f t="shared" si="3"/>
        <v>1</v>
      </c>
      <c r="AB31" s="1814">
        <f t="shared" si="4"/>
        <v>1</v>
      </c>
      <c r="AC31" s="1814">
        <f t="shared" si="5"/>
        <v>1</v>
      </c>
    </row>
    <row r="32" spans="1:29" ht="27">
      <c r="A32" s="428"/>
      <c r="B32" s="1386"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74"/>
      <c r="Q32" s="1813" t="str">
        <f t="shared" si="8"/>
        <v>毗邻道路的类型与等级</v>
      </c>
      <c r="R32" s="774" t="s">
        <v>17</v>
      </c>
      <c r="S32" s="775">
        <f t="shared" si="10"/>
        <v>100</v>
      </c>
      <c r="T32" s="774" t="s">
        <v>17</v>
      </c>
      <c r="U32" s="775">
        <f t="shared" si="11"/>
        <v>100</v>
      </c>
      <c r="V32" s="774" t="s">
        <v>17</v>
      </c>
      <c r="W32" s="775">
        <f t="shared" si="12"/>
        <v>100</v>
      </c>
      <c r="X32" s="1816"/>
      <c r="Y32" s="3174"/>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2"/>
      <c r="M33" s="1133"/>
      <c r="N33" s="1133"/>
      <c r="O33" s="1141"/>
      <c r="P33" s="3174"/>
      <c r="Q33" s="1813"/>
      <c r="R33" s="774"/>
      <c r="S33" s="775"/>
      <c r="T33" s="774"/>
      <c r="U33" s="775"/>
      <c r="V33" s="774"/>
      <c r="W33" s="775"/>
      <c r="X33" s="1816"/>
      <c r="Y33" s="3174"/>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4"/>
      <c r="Q34" s="1813" t="str">
        <f t="shared" si="8"/>
        <v>土地级别</v>
      </c>
      <c r="R34" s="774" t="s">
        <v>17</v>
      </c>
      <c r="S34" s="775">
        <f t="shared" si="10"/>
        <v>100</v>
      </c>
      <c r="T34" s="774" t="s">
        <v>17</v>
      </c>
      <c r="U34" s="775">
        <f t="shared" si="11"/>
        <v>100</v>
      </c>
      <c r="V34" s="774" t="s">
        <v>17</v>
      </c>
      <c r="W34" s="775">
        <f t="shared" si="12"/>
        <v>100</v>
      </c>
      <c r="X34" s="1816"/>
      <c r="Y34" s="3174"/>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4"/>
      <c r="Q35" s="1813">
        <f t="shared" si="8"/>
        <v>111</v>
      </c>
      <c r="R35" s="774" t="s">
        <v>17</v>
      </c>
      <c r="S35" s="775">
        <f t="shared" si="10"/>
        <v>100</v>
      </c>
      <c r="T35" s="774" t="s">
        <v>17</v>
      </c>
      <c r="U35" s="775">
        <f t="shared" si="11"/>
        <v>100</v>
      </c>
      <c r="V35" s="774" t="s">
        <v>17</v>
      </c>
      <c r="W35" s="775">
        <f t="shared" si="12"/>
        <v>100</v>
      </c>
      <c r="X35" s="1816"/>
      <c r="Y35" s="3174"/>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24" t="s">
        <v>2565</v>
      </c>
      <c r="Q36" s="1813">
        <f t="shared" si="8"/>
        <v>111</v>
      </c>
      <c r="R36" s="774" t="s">
        <v>17</v>
      </c>
      <c r="S36" s="775">
        <f t="shared" si="10"/>
        <v>100</v>
      </c>
      <c r="T36" s="774" t="s">
        <v>17</v>
      </c>
      <c r="U36" s="775">
        <f t="shared" si="11"/>
        <v>100</v>
      </c>
      <c r="V36" s="774" t="s">
        <v>17</v>
      </c>
      <c r="W36" s="775">
        <f t="shared" si="12"/>
        <v>100</v>
      </c>
      <c r="X36" s="1816"/>
      <c r="Y36" s="3178" t="s">
        <v>2565</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78"/>
      <c r="Q38" s="1813" t="str">
        <f>B38</f>
        <v>宗地面积</v>
      </c>
      <c r="R38" s="774" t="s">
        <v>17</v>
      </c>
      <c r="S38" s="775" t="e">
        <f t="shared" si="10"/>
        <v>#N/A</v>
      </c>
      <c r="T38" s="774" t="s">
        <v>17</v>
      </c>
      <c r="U38" s="775" t="e">
        <f t="shared" si="11"/>
        <v>#N/A</v>
      </c>
      <c r="V38" s="774" t="s">
        <v>17</v>
      </c>
      <c r="W38" s="775" t="e">
        <f t="shared" si="12"/>
        <v>#N/A</v>
      </c>
      <c r="X38" s="1816"/>
      <c r="Y38" s="3178"/>
      <c r="Z38" s="1817" t="str">
        <f t="shared" si="13"/>
        <v>宗地面积</v>
      </c>
      <c r="AA38" s="1814" t="e">
        <f t="shared" si="3"/>
        <v>#N/A</v>
      </c>
      <c r="AB38" s="1814" t="e">
        <f t="shared" si="4"/>
        <v>#N/A</v>
      </c>
      <c r="AC38" s="1814" t="e">
        <f t="shared" si="5"/>
        <v>#N/A</v>
      </c>
    </row>
    <row r="39" spans="1:29" ht="15">
      <c r="A39" s="472"/>
      <c r="B39" s="422" t="s">
        <v>2752</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2753</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2755</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178" t="s">
        <v>2565</v>
      </c>
      <c r="Q42" s="1813" t="str">
        <f t="shared" si="14"/>
        <v>工程地质条件</v>
      </c>
      <c r="R42" s="774" t="s">
        <v>17</v>
      </c>
      <c r="S42" s="775">
        <f t="shared" si="10"/>
        <v>100</v>
      </c>
      <c r="T42" s="774" t="s">
        <v>17</v>
      </c>
      <c r="U42" s="775">
        <f t="shared" si="11"/>
        <v>100</v>
      </c>
      <c r="V42" s="774" t="s">
        <v>17</v>
      </c>
      <c r="W42" s="775">
        <f t="shared" si="12"/>
        <v>100</v>
      </c>
      <c r="X42" s="1816"/>
      <c r="Y42" s="3178" t="s">
        <v>2565</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2720</v>
      </c>
      <c r="B46" s="2704" t="s">
        <v>2756</v>
      </c>
      <c r="C46" s="682" t="s">
        <v>1</v>
      </c>
      <c r="D46" s="481"/>
      <c r="E46" s="482"/>
      <c r="F46" s="483"/>
      <c r="G46" s="484"/>
      <c r="H46" s="485"/>
      <c r="I46" s="482"/>
      <c r="J46" s="485"/>
      <c r="K46" s="783"/>
      <c r="L46" s="1145"/>
      <c r="M46" s="1146"/>
      <c r="N46" s="1133"/>
      <c r="O46" s="1146"/>
      <c r="P46" s="3171" t="str">
        <f>A46</f>
        <v>成交单价</v>
      </c>
      <c r="Q46" s="3171"/>
      <c r="R46" s="3166">
        <f>E46</f>
        <v>0</v>
      </c>
      <c r="S46" s="3166"/>
      <c r="T46" s="3166">
        <f>G46</f>
        <v>0</v>
      </c>
      <c r="U46" s="3166"/>
      <c r="V46" s="3166">
        <f>I46</f>
        <v>0</v>
      </c>
      <c r="W46" s="3166"/>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5"/>
      <c r="M47" s="1146"/>
      <c r="N47" s="1146"/>
      <c r="O47" s="1146"/>
      <c r="P47" s="3171" t="str">
        <f>A47</f>
        <v>比较价值（元/平方米）</v>
      </c>
      <c r="Q47" s="3171"/>
      <c r="R47" s="3225" t="e">
        <f>ROUND(PRODUCT(R46,AA7:AA45),0)</f>
        <v>#DIV/0!</v>
      </c>
      <c r="S47" s="3225"/>
      <c r="T47" s="3225" t="e">
        <f>ROUND(PRODUCT(T46,AB7:AB45),0)</f>
        <v>#DIV/0!</v>
      </c>
      <c r="U47" s="3225"/>
      <c r="V47" s="3225" t="e">
        <f>ROUND(PRODUCT(V46,AC7:AC45),0)</f>
        <v>#DIV/0!</v>
      </c>
      <c r="W47" s="3225"/>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5"/>
      <c r="M48" s="1146"/>
      <c r="N48" s="1146"/>
      <c r="O48" s="1146"/>
      <c r="P48" s="3168" t="str">
        <f>A48</f>
        <v>估价对象XX用房的比较价值（楼面单价，元/平方米）</v>
      </c>
      <c r="Q48" s="3169"/>
      <c r="R48" s="3226" t="e">
        <f>ROUND(AVERAGE(R47:V47),0)</f>
        <v>#DIV/0!</v>
      </c>
      <c r="S48" s="3226"/>
      <c r="T48" s="3226"/>
      <c r="U48" s="3226"/>
      <c r="V48" s="3226"/>
      <c r="W48" s="3226"/>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2758</v>
      </c>
      <c r="B55" s="685" t="s">
        <v>2759</v>
      </c>
      <c r="C55" s="2705" t="s">
        <v>2760</v>
      </c>
      <c r="D55" s="2706" t="s">
        <v>2761</v>
      </c>
      <c r="E55" s="686" t="s">
        <v>2762</v>
      </c>
      <c r="F55" s="1109" t="s">
        <v>2763</v>
      </c>
      <c r="G55" s="3154" t="s">
        <v>2764</v>
      </c>
      <c r="H55" s="3227"/>
      <c r="I55" s="144" t="s">
        <v>2765</v>
      </c>
      <c r="J55" s="2707">
        <f>项目基本情况!F35</f>
        <v>0</v>
      </c>
      <c r="K55" s="2708" t="s">
        <v>2766</v>
      </c>
      <c r="L55" s="1108"/>
      <c r="M55" s="1146"/>
      <c r="N55" s="1146"/>
      <c r="O55" s="1146"/>
    </row>
    <row r="56" spans="1:15" s="692" customFormat="1">
      <c r="A56" s="688" t="s">
        <v>2767</v>
      </c>
      <c r="B56" s="689" t="e">
        <f>C48</f>
        <v>#DIV/0!</v>
      </c>
      <c r="C56" s="690">
        <v>1</v>
      </c>
      <c r="D56" s="1165">
        <v>1</v>
      </c>
      <c r="E56" s="690">
        <f>'数据-汇总表'!E8+'数据-汇总表'!E9</f>
        <v>1141.77</v>
      </c>
      <c r="F56" s="1105" t="e">
        <f t="shared" ref="F56:F65" si="15">ROUND(B56*E56/10000,0)</f>
        <v>#DIV/0!</v>
      </c>
      <c r="G56" s="3153"/>
      <c r="H56" s="3171"/>
      <c r="I56" s="1110">
        <v>1</v>
      </c>
      <c r="J56" s="1113">
        <v>1</v>
      </c>
      <c r="K56" s="1147"/>
      <c r="L56" s="943"/>
      <c r="M56" s="943"/>
      <c r="N56" s="943"/>
      <c r="O56" s="943"/>
    </row>
    <row r="57" spans="1:15" s="692" customFormat="1">
      <c r="A57" s="693" t="s">
        <v>2768</v>
      </c>
      <c r="B57" s="262" t="e">
        <f>ROUND($C$48*C57*D57,0)</f>
        <v>#DIV/0!</v>
      </c>
      <c r="C57" s="200">
        <f t="shared" ref="C57:C65" si="16">IF($C$55="北京市系数",I57,J57)</f>
        <v>0</v>
      </c>
      <c r="D57" s="1166">
        <v>0.25</v>
      </c>
      <c r="E57" s="694"/>
      <c r="F57" s="1105" t="e">
        <f t="shared" si="15"/>
        <v>#DIV/0!</v>
      </c>
      <c r="G57" s="3228" t="s">
        <v>2769</v>
      </c>
      <c r="H57" s="1106">
        <f>项目基本情况!B37</f>
        <v>0</v>
      </c>
      <c r="I57" s="1110">
        <f>SUMIF(修正!A45:A56,H57,修正!B45:B56)</f>
        <v>0</v>
      </c>
      <c r="J57" s="1114"/>
      <c r="K57" s="1146"/>
      <c r="L57" s="943"/>
      <c r="M57" s="943"/>
      <c r="N57" s="943"/>
      <c r="O57" s="943"/>
    </row>
    <row r="58" spans="1:15" s="692" customFormat="1">
      <c r="A58" s="693" t="s">
        <v>2770</v>
      </c>
      <c r="B58" s="262" t="e">
        <f t="shared" ref="B58:B65" si="17">ROUND($C$48*C58*D58,0)</f>
        <v>#DIV/0!</v>
      </c>
      <c r="C58" s="200">
        <f t="shared" si="16"/>
        <v>0</v>
      </c>
      <c r="D58" s="1166">
        <v>0.25</v>
      </c>
      <c r="E58" s="694"/>
      <c r="F58" s="1105" t="e">
        <f t="shared" si="15"/>
        <v>#DIV/0!</v>
      </c>
      <c r="G58" s="3228"/>
      <c r="H58" s="1106">
        <f>项目基本情况!B37</f>
        <v>0</v>
      </c>
      <c r="I58" s="1110">
        <f>SUMIF(修正!A45:A56,H58,修正!C45:C56)</f>
        <v>0</v>
      </c>
      <c r="J58" s="1114"/>
      <c r="K58" s="1147"/>
      <c r="L58" s="943"/>
      <c r="M58" s="943"/>
      <c r="N58" s="943"/>
      <c r="O58" s="943"/>
    </row>
    <row r="59" spans="1:15" s="692" customFormat="1">
      <c r="A59" s="693" t="s">
        <v>2771</v>
      </c>
      <c r="B59" s="262" t="e">
        <f t="shared" si="17"/>
        <v>#DIV/0!</v>
      </c>
      <c r="C59" s="200">
        <f t="shared" si="16"/>
        <v>0</v>
      </c>
      <c r="D59" s="1166">
        <v>0.25</v>
      </c>
      <c r="E59" s="694"/>
      <c r="F59" s="1105" t="e">
        <f t="shared" si="15"/>
        <v>#DIV/0!</v>
      </c>
      <c r="G59" s="3228"/>
      <c r="H59" s="1106">
        <f>项目基本情况!B37</f>
        <v>0</v>
      </c>
      <c r="I59" s="1110">
        <f>SUMIF(修正!A45:A56,H59,修正!D45:D56)</f>
        <v>0</v>
      </c>
      <c r="J59" s="1114"/>
      <c r="K59" s="1146"/>
      <c r="L59" s="943"/>
      <c r="M59" s="943"/>
      <c r="N59" s="943"/>
      <c r="O59" s="943"/>
    </row>
    <row r="60" spans="1:15" s="692" customFormat="1">
      <c r="A60" s="693" t="s">
        <v>2772</v>
      </c>
      <c r="B60" s="262" t="e">
        <f t="shared" si="17"/>
        <v>#DIV/0!</v>
      </c>
      <c r="C60" s="200">
        <f t="shared" si="16"/>
        <v>0</v>
      </c>
      <c r="D60" s="1166">
        <v>0.25</v>
      </c>
      <c r="E60" s="694"/>
      <c r="F60" s="1105" t="e">
        <f t="shared" si="15"/>
        <v>#DIV/0!</v>
      </c>
      <c r="G60" s="3228"/>
      <c r="H60" s="1106">
        <f>项目基本情况!B37</f>
        <v>0</v>
      </c>
      <c r="I60" s="1110">
        <f>SUMIF(修正!A45:A56,H60,修正!E45:E56)</f>
        <v>0</v>
      </c>
      <c r="J60" s="1114"/>
      <c r="K60" s="1147"/>
      <c r="L60" s="943"/>
      <c r="M60" s="943"/>
      <c r="N60" s="943"/>
      <c r="O60" s="943"/>
    </row>
    <row r="61" spans="1:15" s="692" customFormat="1">
      <c r="A61" s="693" t="s">
        <v>2773</v>
      </c>
      <c r="B61" s="262" t="e">
        <f t="shared" si="17"/>
        <v>#DIV/0!</v>
      </c>
      <c r="C61" s="200">
        <f t="shared" si="16"/>
        <v>0</v>
      </c>
      <c r="D61" s="1166">
        <v>0.25</v>
      </c>
      <c r="E61" s="261">
        <f>'数据-汇总表'!E11</f>
        <v>0</v>
      </c>
      <c r="F61" s="1105" t="e">
        <f t="shared" si="15"/>
        <v>#DIV/0!</v>
      </c>
      <c r="G61" s="2709" t="s">
        <v>2774</v>
      </c>
      <c r="H61" s="1106">
        <f>项目基本情况!C37</f>
        <v>0</v>
      </c>
      <c r="I61" s="1110">
        <f>SUMIF(修正!A45:A56,H61,修正!F45:F56)</f>
        <v>0</v>
      </c>
      <c r="J61" s="1114"/>
      <c r="K61" s="1146"/>
      <c r="L61" s="943"/>
      <c r="M61" s="943"/>
      <c r="N61" s="943"/>
      <c r="O61" s="943"/>
    </row>
    <row r="62" spans="1:15" s="692" customFormat="1">
      <c r="A62" s="693" t="s">
        <v>2775</v>
      </c>
      <c r="B62" s="262" t="e">
        <f t="shared" si="17"/>
        <v>#DIV/0!</v>
      </c>
      <c r="C62" s="200">
        <f t="shared" si="16"/>
        <v>0</v>
      </c>
      <c r="D62" s="1166">
        <v>0.25</v>
      </c>
      <c r="E62" s="261">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2777</v>
      </c>
      <c r="B63" s="262" t="e">
        <f t="shared" si="17"/>
        <v>#DIV/0!</v>
      </c>
      <c r="C63" s="200">
        <f t="shared" si="16"/>
        <v>0</v>
      </c>
      <c r="D63" s="1166">
        <v>0.25</v>
      </c>
      <c r="E63" s="261">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2779</v>
      </c>
      <c r="B64" s="262" t="e">
        <f t="shared" si="17"/>
        <v>#DIV/0!</v>
      </c>
      <c r="C64" s="200">
        <f t="shared" si="16"/>
        <v>0</v>
      </c>
      <c r="D64" s="1166">
        <v>0.25</v>
      </c>
      <c r="E64" s="261">
        <f>'数据-汇总表'!E14</f>
        <v>0</v>
      </c>
      <c r="F64" s="1105" t="e">
        <f t="shared" si="15"/>
        <v>#DIV/0!</v>
      </c>
      <c r="G64" s="2709" t="s">
        <v>2769</v>
      </c>
      <c r="H64" s="1106">
        <f>项目基本情况!B37</f>
        <v>0</v>
      </c>
      <c r="I64" s="1110">
        <f>SUMIF(修正!A45:A56,H64,修正!H45:H56)</f>
        <v>0</v>
      </c>
      <c r="J64" s="1114"/>
      <c r="K64" s="1147"/>
      <c r="L64" s="943"/>
      <c r="M64" s="943"/>
      <c r="N64" s="943"/>
      <c r="O64" s="943"/>
    </row>
    <row r="65" spans="1:17" s="692" customFormat="1" ht="15" thickBot="1">
      <c r="A65" s="693" t="s">
        <v>2780</v>
      </c>
      <c r="B65" s="262" t="e">
        <f t="shared" si="17"/>
        <v>#DIV/0!</v>
      </c>
      <c r="C65" s="200">
        <f t="shared" si="16"/>
        <v>0</v>
      </c>
      <c r="D65" s="1166">
        <v>0.25</v>
      </c>
      <c r="E65" s="261">
        <f>'数据-汇总表'!E15</f>
        <v>0</v>
      </c>
      <c r="F65" s="1105" t="e">
        <f t="shared" si="15"/>
        <v>#DIV/0!</v>
      </c>
      <c r="G65" s="2710" t="s">
        <v>2774</v>
      </c>
      <c r="H65" s="1116">
        <f>项目基本情况!C37</f>
        <v>0</v>
      </c>
      <c r="I65" s="1112">
        <f>SUMIF(修正!A45:A56,H65,修正!H45:H56)</f>
        <v>0</v>
      </c>
      <c r="J65" s="1115"/>
      <c r="K65" s="1146"/>
      <c r="L65" s="943"/>
      <c r="M65" s="943"/>
      <c r="N65" s="943"/>
      <c r="O65" s="943"/>
    </row>
    <row r="66" spans="1:17" s="692" customFormat="1" ht="13.5" thickBot="1">
      <c r="A66" s="695" t="s">
        <v>2781</v>
      </c>
      <c r="B66" s="696" t="s">
        <v>28</v>
      </c>
      <c r="C66" s="696" t="s">
        <v>29</v>
      </c>
      <c r="D66" s="696" t="s">
        <v>1029</v>
      </c>
      <c r="E66" s="696">
        <f>IF(B46="楼面地价",SUM(E56:E65),'数据-汇总表'!D3)</f>
        <v>1141.77</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2674</v>
      </c>
      <c r="B69" s="759"/>
      <c r="C69" s="764"/>
      <c r="D69" s="764"/>
      <c r="E69" s="764"/>
      <c r="F69" s="765"/>
      <c r="G69" s="765"/>
      <c r="H69" s="764"/>
      <c r="I69" s="764"/>
      <c r="J69" s="1161"/>
      <c r="K69" s="1162"/>
      <c r="L69" s="1163"/>
      <c r="M69" s="1161"/>
      <c r="N69" s="1161"/>
      <c r="O69" s="1161"/>
      <c r="P69" s="503"/>
      <c r="Q69" s="504"/>
    </row>
    <row r="70" spans="1:17" s="508" customFormat="1" ht="15">
      <c r="A70" s="2711" t="s">
        <v>2782</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2" t="s">
        <v>2783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4"/>
      <c r="P72" s="504"/>
      <c r="Q72" s="504"/>
    </row>
    <row r="73" spans="1:17" s="117" customFormat="1" ht="15">
      <c r="A73" s="521" t="s">
        <v>2550</v>
      </c>
      <c r="B73" s="510"/>
      <c r="C73" s="522" t="s">
        <v>2652</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2588</v>
      </c>
      <c r="B75" s="528" t="s">
        <v>2554</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2557</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2691</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2750</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2792</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2793</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2794</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2795</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54" t="s">
        <v>2646</v>
      </c>
      <c r="D4" s="3155"/>
      <c r="E4" s="3156" t="s">
        <v>2647</v>
      </c>
      <c r="F4" s="3157"/>
      <c r="G4" s="3154" t="s">
        <v>2648</v>
      </c>
      <c r="H4" s="3155"/>
      <c r="I4" s="3154" t="s">
        <v>2649</v>
      </c>
      <c r="J4" s="3155"/>
      <c r="K4" s="610" t="s">
        <v>2650</v>
      </c>
      <c r="L4" s="1132"/>
      <c r="M4" s="1133"/>
      <c r="N4" s="1133"/>
      <c r="O4" s="1133"/>
      <c r="P4" s="3158" t="s">
        <v>2651</v>
      </c>
      <c r="Q4" s="3159"/>
      <c r="R4" s="3141" t="s">
        <v>2647</v>
      </c>
      <c r="S4" s="3142"/>
      <c r="T4" s="3141" t="s">
        <v>2648</v>
      </c>
      <c r="U4" s="3142"/>
      <c r="V4" s="3166" t="s">
        <v>2649</v>
      </c>
      <c r="W4" s="3166"/>
      <c r="X4" s="1816"/>
      <c r="Y4" s="3141" t="s">
        <v>2651</v>
      </c>
      <c r="Z4" s="3142"/>
      <c r="AA4" s="3136" t="s">
        <v>2647</v>
      </c>
      <c r="AB4" s="3137" t="s">
        <v>2648</v>
      </c>
      <c r="AC4" s="3136" t="s">
        <v>2649</v>
      </c>
    </row>
    <row r="5" spans="1:29" ht="15">
      <c r="A5" s="404"/>
      <c r="B5" s="405"/>
      <c r="C5" s="3147" t="s">
        <v>2542</v>
      </c>
      <c r="D5" s="3148"/>
      <c r="E5" s="3145" t="s">
        <v>2543</v>
      </c>
      <c r="F5" s="3146"/>
      <c r="G5" s="3147" t="s">
        <v>2544</v>
      </c>
      <c r="H5" s="3148"/>
      <c r="I5" s="3147" t="s">
        <v>2545</v>
      </c>
      <c r="J5" s="3148"/>
      <c r="K5" s="610"/>
      <c r="L5" s="1132"/>
      <c r="M5" s="1133"/>
      <c r="N5" s="1133"/>
      <c r="O5" s="1133"/>
      <c r="P5" s="3160"/>
      <c r="Q5" s="3161"/>
      <c r="R5" s="3143"/>
      <c r="S5" s="3144"/>
      <c r="T5" s="3143"/>
      <c r="U5" s="3144"/>
      <c r="V5" s="3166"/>
      <c r="W5" s="3166"/>
      <c r="X5" s="1816"/>
      <c r="Y5" s="3143"/>
      <c r="Z5" s="3144"/>
      <c r="AA5" s="3137"/>
      <c r="AB5" s="3137"/>
      <c r="AC5" s="3137"/>
    </row>
    <row r="6" spans="1:29" ht="15.75" thickBot="1">
      <c r="A6" s="406"/>
      <c r="B6" s="407"/>
      <c r="C6" s="3229" t="s">
        <v>2797</v>
      </c>
      <c r="D6" s="3230"/>
      <c r="E6" s="3231" t="s">
        <v>2797</v>
      </c>
      <c r="F6" s="3232"/>
      <c r="G6" s="3229" t="s">
        <v>2797</v>
      </c>
      <c r="H6" s="3230"/>
      <c r="I6" s="3229" t="s">
        <v>2797</v>
      </c>
      <c r="J6" s="3230"/>
      <c r="K6" s="610" t="s">
        <v>2547</v>
      </c>
      <c r="L6" s="1132"/>
      <c r="M6" s="1133"/>
      <c r="N6" s="1133"/>
      <c r="O6" s="1133"/>
      <c r="P6" s="3162"/>
      <c r="Q6" s="3163"/>
      <c r="R6" s="3143"/>
      <c r="S6" s="3144"/>
      <c r="T6" s="3164"/>
      <c r="U6" s="3165"/>
      <c r="V6" s="3166"/>
      <c r="W6" s="3166"/>
      <c r="X6" s="1816"/>
      <c r="Y6" s="3164"/>
      <c r="Z6" s="3165"/>
      <c r="AA6" s="3138"/>
      <c r="AB6" s="3138"/>
      <c r="AC6" s="3138"/>
    </row>
    <row r="7" spans="1:29" s="117" customFormat="1" ht="15.75" thickBot="1">
      <c r="A7" s="408" t="s">
        <v>2548</v>
      </c>
      <c r="B7" s="409"/>
      <c r="C7" s="410">
        <f>'数据-取费表'!B2</f>
        <v>43102</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139" t="s">
        <v>2549</v>
      </c>
      <c r="Q7" s="3167"/>
      <c r="R7" s="770" t="s">
        <v>17</v>
      </c>
      <c r="S7" s="771">
        <f t="shared" ref="S7:S15" si="0">F7</f>
        <v>0</v>
      </c>
      <c r="T7" s="770" t="s">
        <v>17</v>
      </c>
      <c r="U7" s="771">
        <f t="shared" ref="U7:U15" si="1">H7</f>
        <v>0</v>
      </c>
      <c r="V7" s="770" t="s">
        <v>17</v>
      </c>
      <c r="W7" s="771">
        <f t="shared" ref="W7:W15" si="2">J7</f>
        <v>0</v>
      </c>
      <c r="X7" s="772"/>
      <c r="Y7" s="3139" t="s">
        <v>2549</v>
      </c>
      <c r="Z7" s="3140"/>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39" t="s">
        <v>2552</v>
      </c>
      <c r="Q8" s="3140"/>
      <c r="R8" s="770" t="s">
        <v>17</v>
      </c>
      <c r="S8" s="771">
        <f t="shared" si="0"/>
        <v>0</v>
      </c>
      <c r="T8" s="770" t="s">
        <v>17</v>
      </c>
      <c r="U8" s="771">
        <f t="shared" si="1"/>
        <v>0</v>
      </c>
      <c r="V8" s="770" t="s">
        <v>17</v>
      </c>
      <c r="W8" s="771">
        <f t="shared" si="2"/>
        <v>0</v>
      </c>
      <c r="X8" s="772"/>
      <c r="Y8" s="3139" t="s">
        <v>2552</v>
      </c>
      <c r="Z8" s="3140"/>
      <c r="AA8" s="773" t="e">
        <f t="shared" ref="AA8:AA40" si="3">D8/F8</f>
        <v>#DIV/0!</v>
      </c>
      <c r="AB8" s="773" t="e">
        <f t="shared" ref="AB8:AB40" si="4">D8/H8</f>
        <v>#DIV/0!</v>
      </c>
      <c r="AC8" s="773"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171" t="s">
        <v>2555</v>
      </c>
      <c r="Q9" s="1798" t="str">
        <f t="shared" ref="Q9:Q15" si="6">B9</f>
        <v>用途</v>
      </c>
      <c r="R9" s="770" t="s">
        <v>17</v>
      </c>
      <c r="S9" s="771">
        <f t="shared" si="0"/>
        <v>100</v>
      </c>
      <c r="T9" s="770" t="s">
        <v>17</v>
      </c>
      <c r="U9" s="771">
        <f t="shared" si="1"/>
        <v>100</v>
      </c>
      <c r="V9" s="770" t="s">
        <v>17</v>
      </c>
      <c r="W9" s="771">
        <f t="shared" si="2"/>
        <v>100</v>
      </c>
      <c r="X9" s="772"/>
      <c r="Y9" s="3013"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111</v>
      </c>
      <c r="G10" s="432"/>
      <c r="H10" s="136">
        <f>ROUND(100/'数据-取费表'!G16,0)</f>
        <v>111</v>
      </c>
      <c r="I10" s="432"/>
      <c r="J10" s="136">
        <f>ROUND(100/'数据-取费表'!G16,0)</f>
        <v>111</v>
      </c>
      <c r="K10" s="672"/>
      <c r="L10" s="1137"/>
      <c r="M10" s="1138"/>
      <c r="N10" s="1138"/>
      <c r="O10" s="1139"/>
      <c r="P10" s="3171"/>
      <c r="Q10" s="1798" t="str">
        <f t="shared" si="6"/>
        <v>土地使用年限（年）</v>
      </c>
      <c r="R10" s="770" t="s">
        <v>17</v>
      </c>
      <c r="S10" s="771">
        <f t="shared" si="0"/>
        <v>111</v>
      </c>
      <c r="T10" s="770" t="s">
        <v>17</v>
      </c>
      <c r="U10" s="771">
        <f t="shared" si="1"/>
        <v>111</v>
      </c>
      <c r="V10" s="770" t="s">
        <v>17</v>
      </c>
      <c r="W10" s="771">
        <f t="shared" si="2"/>
        <v>111</v>
      </c>
      <c r="X10" s="772"/>
      <c r="Y10" s="3013"/>
      <c r="Z10" s="55" t="str">
        <f t="shared" si="7"/>
        <v>土地使用年限（年）</v>
      </c>
      <c r="AA10" s="773">
        <f t="shared" si="3"/>
        <v>0.90090090090090091</v>
      </c>
      <c r="AB10" s="773">
        <f t="shared" si="4"/>
        <v>0.90090090090090091</v>
      </c>
      <c r="AC10" s="773">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71"/>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71"/>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71"/>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71"/>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3" t="s">
        <v>2560</v>
      </c>
      <c r="Q15" s="1813" t="str">
        <f t="shared" si="6"/>
        <v>产业集聚程度</v>
      </c>
      <c r="R15" s="774" t="s">
        <v>17</v>
      </c>
      <c r="S15" s="775">
        <f t="shared" si="0"/>
        <v>100</v>
      </c>
      <c r="T15" s="774" t="s">
        <v>17</v>
      </c>
      <c r="U15" s="775">
        <f t="shared" si="1"/>
        <v>100</v>
      </c>
      <c r="V15" s="774" t="s">
        <v>17</v>
      </c>
      <c r="W15" s="775">
        <f t="shared" si="2"/>
        <v>100</v>
      </c>
      <c r="X15" s="1816"/>
      <c r="Y15" s="3173" t="s">
        <v>2560</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2"/>
      <c r="M16" s="1133"/>
      <c r="N16" s="1133"/>
      <c r="O16" s="1141"/>
      <c r="P16" s="3174"/>
      <c r="Q16" s="1813"/>
      <c r="R16" s="774"/>
      <c r="S16" s="775"/>
      <c r="T16" s="774"/>
      <c r="U16" s="775"/>
      <c r="V16" s="774"/>
      <c r="W16" s="775"/>
      <c r="X16" s="1816"/>
      <c r="Y16" s="3174"/>
      <c r="Z16" s="1817"/>
      <c r="AA16" s="1814">
        <v>1</v>
      </c>
      <c r="AB16" s="1814">
        <v>1</v>
      </c>
      <c r="AC16" s="1814">
        <v>1</v>
      </c>
    </row>
    <row r="17" spans="1:29" ht="85.5">
      <c r="A17" s="428"/>
      <c r="B17" s="631" t="s">
        <v>2709</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2"/>
      <c r="M18" s="1133"/>
      <c r="N18" s="1133"/>
      <c r="O18" s="1141"/>
      <c r="P18" s="3174"/>
      <c r="Q18" s="1813"/>
      <c r="R18" s="774"/>
      <c r="S18" s="775"/>
      <c r="T18" s="774"/>
      <c r="U18" s="775"/>
      <c r="V18" s="774"/>
      <c r="W18" s="775"/>
      <c r="X18" s="1816"/>
      <c r="Y18" s="3174"/>
      <c r="Z18" s="1817"/>
      <c r="AA18" s="1814">
        <v>1</v>
      </c>
      <c r="AB18" s="1814">
        <v>1</v>
      </c>
      <c r="AC18" s="1814">
        <v>1</v>
      </c>
    </row>
    <row r="19" spans="1:29" ht="15">
      <c r="A19" s="428"/>
      <c r="B19" s="631" t="s">
        <v>2748</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74"/>
      <c r="Q19" s="1813" t="str">
        <f t="shared" ref="Q19:Q33" si="8">B19</f>
        <v>区域土地利用方向</v>
      </c>
      <c r="R19" s="774" t="s">
        <v>17</v>
      </c>
      <c r="S19" s="775">
        <f>F19</f>
        <v>100</v>
      </c>
      <c r="T19" s="774" t="s">
        <v>17</v>
      </c>
      <c r="U19" s="775">
        <f>H19</f>
        <v>100</v>
      </c>
      <c r="V19" s="774" t="s">
        <v>17</v>
      </c>
      <c r="W19" s="775">
        <f>J19</f>
        <v>100</v>
      </c>
      <c r="X19" s="1816"/>
      <c r="Y19" s="3174"/>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1"/>
      <c r="L20" s="1142"/>
      <c r="M20" s="1133"/>
      <c r="N20" s="1133"/>
      <c r="O20" s="1141"/>
      <c r="P20" s="3174"/>
      <c r="Q20" s="1813"/>
      <c r="R20" s="774"/>
      <c r="S20" s="775"/>
      <c r="T20" s="774"/>
      <c r="U20" s="775"/>
      <c r="V20" s="774"/>
      <c r="W20" s="775"/>
      <c r="X20" s="1816"/>
      <c r="Y20" s="3174"/>
      <c r="Z20" s="1817"/>
      <c r="AA20" s="1814"/>
      <c r="AB20" s="1814"/>
      <c r="AC20" s="1814"/>
    </row>
    <row r="21" spans="1:29" ht="71.25">
      <c r="A21" s="404"/>
      <c r="B21" s="631" t="s">
        <v>2799</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74"/>
      <c r="Q21" s="1813" t="str">
        <f t="shared" si="8"/>
        <v>环境状况</v>
      </c>
      <c r="R21" s="774" t="s">
        <v>17</v>
      </c>
      <c r="S21" s="775">
        <f>F21</f>
        <v>100</v>
      </c>
      <c r="T21" s="774" t="s">
        <v>17</v>
      </c>
      <c r="U21" s="775">
        <f>H21</f>
        <v>100</v>
      </c>
      <c r="V21" s="774" t="s">
        <v>17</v>
      </c>
      <c r="W21" s="775">
        <f>J21</f>
        <v>100</v>
      </c>
      <c r="X21" s="1816"/>
      <c r="Y21" s="3174"/>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2"/>
      <c r="M22" s="1133"/>
      <c r="N22" s="1133"/>
      <c r="O22" s="1141"/>
      <c r="P22" s="3174"/>
      <c r="Q22" s="1813"/>
      <c r="R22" s="774"/>
      <c r="S22" s="775"/>
      <c r="T22" s="774"/>
      <c r="U22" s="775"/>
      <c r="V22" s="774"/>
      <c r="W22" s="775"/>
      <c r="X22" s="1816"/>
      <c r="Y22" s="3174"/>
      <c r="Z22" s="1817"/>
      <c r="AA22" s="1814">
        <v>1</v>
      </c>
      <c r="AB22" s="1814">
        <v>1</v>
      </c>
      <c r="AC22" s="1814">
        <v>1</v>
      </c>
    </row>
    <row r="23" spans="1:29" s="117" customFormat="1" ht="42.75">
      <c r="A23" s="649"/>
      <c r="B23" s="633" t="s">
        <v>2654</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74"/>
      <c r="Q23" s="1798" t="str">
        <f t="shared" si="8"/>
        <v>公共配套设施</v>
      </c>
      <c r="R23" s="770" t="s">
        <v>17</v>
      </c>
      <c r="S23" s="771">
        <f>F23</f>
        <v>100</v>
      </c>
      <c r="T23" s="770" t="s">
        <v>17</v>
      </c>
      <c r="U23" s="771">
        <f>H23</f>
        <v>100</v>
      </c>
      <c r="V23" s="770" t="s">
        <v>17</v>
      </c>
      <c r="W23" s="771">
        <f>J23</f>
        <v>100</v>
      </c>
      <c r="X23" s="772"/>
      <c r="Y23" s="3174"/>
      <c r="Z23" s="55" t="str">
        <f>Q23</f>
        <v>公共配套设施</v>
      </c>
      <c r="AA23" s="1814">
        <f>D23/F23</f>
        <v>1</v>
      </c>
      <c r="AB23" s="1814">
        <f>D23/H23</f>
        <v>1</v>
      </c>
      <c r="AC23" s="1814">
        <f>D23/J23</f>
        <v>1</v>
      </c>
    </row>
    <row r="24" spans="1:29" s="117" customFormat="1" ht="15">
      <c r="A24" s="649"/>
      <c r="B24" s="632"/>
      <c r="C24" s="2700"/>
      <c r="D24" s="448"/>
      <c r="E24" s="2611"/>
      <c r="F24" s="448"/>
      <c r="G24" s="2611"/>
      <c r="H24" s="448"/>
      <c r="I24" s="447"/>
      <c r="J24" s="448"/>
      <c r="K24" s="672"/>
      <c r="L24" s="1134"/>
      <c r="M24" s="1135"/>
      <c r="N24" s="1135"/>
      <c r="O24" s="1136"/>
      <c r="P24" s="3174"/>
      <c r="Q24" s="1798"/>
      <c r="R24" s="770"/>
      <c r="S24" s="771"/>
      <c r="T24" s="770"/>
      <c r="U24" s="771"/>
      <c r="V24" s="770"/>
      <c r="W24" s="771"/>
      <c r="X24" s="772"/>
      <c r="Y24" s="3174"/>
      <c r="Z24" s="55"/>
      <c r="AA24" s="773">
        <v>1</v>
      </c>
      <c r="AB24" s="773">
        <v>1</v>
      </c>
      <c r="AC24" s="773">
        <v>1</v>
      </c>
    </row>
    <row r="25" spans="1:29" s="117" customFormat="1" ht="28.5">
      <c r="A25" s="649"/>
      <c r="B25" s="633" t="s">
        <v>2655</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74"/>
      <c r="Q25" s="1798"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4"/>
      <c r="M26" s="1135"/>
      <c r="N26" s="1135"/>
      <c r="O26" s="1136"/>
      <c r="P26" s="3174"/>
      <c r="Q26" s="1798"/>
      <c r="R26" s="770"/>
      <c r="S26" s="771"/>
      <c r="T26" s="770"/>
      <c r="U26" s="771"/>
      <c r="V26" s="770"/>
      <c r="W26" s="771"/>
      <c r="X26" s="772"/>
      <c r="Y26" s="3174"/>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7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4"/>
      <c r="Z27" s="1817" t="str">
        <f t="shared" ref="Z27:Z40" si="13">Q27</f>
        <v>临街状况</v>
      </c>
      <c r="AA27" s="1814">
        <f t="shared" si="3"/>
        <v>1</v>
      </c>
      <c r="AB27" s="1814">
        <f t="shared" si="4"/>
        <v>1</v>
      </c>
      <c r="AC27" s="1814">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74"/>
      <c r="Q28" s="1813" t="str">
        <f t="shared" si="8"/>
        <v>毗邻道路的类型与等级</v>
      </c>
      <c r="R28" s="774" t="s">
        <v>17</v>
      </c>
      <c r="S28" s="775">
        <f t="shared" si="10"/>
        <v>100</v>
      </c>
      <c r="T28" s="774" t="s">
        <v>17</v>
      </c>
      <c r="U28" s="775">
        <f t="shared" si="11"/>
        <v>100</v>
      </c>
      <c r="V28" s="774" t="s">
        <v>17</v>
      </c>
      <c r="W28" s="775">
        <f t="shared" si="12"/>
        <v>100</v>
      </c>
      <c r="X28" s="1816"/>
      <c r="Y28" s="3174"/>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2"/>
      <c r="M29" s="1133"/>
      <c r="N29" s="1133"/>
      <c r="O29" s="1141"/>
      <c r="P29" s="3174"/>
      <c r="Q29" s="1813"/>
      <c r="R29" s="774"/>
      <c r="S29" s="775"/>
      <c r="T29" s="774"/>
      <c r="U29" s="775"/>
      <c r="V29" s="774"/>
      <c r="W29" s="775"/>
      <c r="X29" s="1816"/>
      <c r="Y29" s="3174"/>
      <c r="Z29" s="1817"/>
      <c r="AA29" s="1814">
        <v>1</v>
      </c>
      <c r="AB29" s="1814">
        <v>1</v>
      </c>
      <c r="AC29" s="1814">
        <v>1</v>
      </c>
    </row>
    <row r="30" spans="1:29" ht="15">
      <c r="A30" s="428"/>
      <c r="B30" s="654" t="s">
        <v>2750</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4"/>
      <c r="Q30" s="1813" t="str">
        <f t="shared" si="8"/>
        <v>土地级别</v>
      </c>
      <c r="R30" s="774" t="s">
        <v>17</v>
      </c>
      <c r="S30" s="775">
        <f t="shared" si="10"/>
        <v>100</v>
      </c>
      <c r="T30" s="774" t="s">
        <v>17</v>
      </c>
      <c r="U30" s="775">
        <f t="shared" si="11"/>
        <v>100</v>
      </c>
      <c r="V30" s="774" t="s">
        <v>17</v>
      </c>
      <c r="W30" s="775">
        <f t="shared" si="12"/>
        <v>100</v>
      </c>
      <c r="X30" s="1816"/>
      <c r="Y30" s="3174"/>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4"/>
      <c r="Q31" s="1813">
        <f t="shared" si="8"/>
        <v>111</v>
      </c>
      <c r="R31" s="774" t="s">
        <v>17</v>
      </c>
      <c r="S31" s="775">
        <f t="shared" si="10"/>
        <v>100</v>
      </c>
      <c r="T31" s="774" t="s">
        <v>17</v>
      </c>
      <c r="U31" s="775">
        <f t="shared" si="11"/>
        <v>100</v>
      </c>
      <c r="V31" s="774" t="s">
        <v>17</v>
      </c>
      <c r="W31" s="775">
        <f t="shared" si="12"/>
        <v>100</v>
      </c>
      <c r="X31" s="1816"/>
      <c r="Y31" s="3174"/>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24" t="s">
        <v>2565</v>
      </c>
      <c r="Q32" s="1813">
        <f t="shared" si="8"/>
        <v>111</v>
      </c>
      <c r="R32" s="774" t="s">
        <v>17</v>
      </c>
      <c r="S32" s="775">
        <f t="shared" si="10"/>
        <v>100</v>
      </c>
      <c r="T32" s="774" t="s">
        <v>17</v>
      </c>
      <c r="U32" s="775">
        <f t="shared" si="11"/>
        <v>100</v>
      </c>
      <c r="V32" s="774" t="s">
        <v>17</v>
      </c>
      <c r="W32" s="775">
        <f t="shared" si="12"/>
        <v>100</v>
      </c>
      <c r="X32" s="1816"/>
      <c r="Y32" s="3178" t="s">
        <v>2565</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78"/>
      <c r="Q34" s="1813" t="str">
        <f>B34</f>
        <v>宗地面积</v>
      </c>
      <c r="R34" s="774" t="s">
        <v>17</v>
      </c>
      <c r="S34" s="775" t="e">
        <f t="shared" si="10"/>
        <v>#N/A</v>
      </c>
      <c r="T34" s="774" t="s">
        <v>17</v>
      </c>
      <c r="U34" s="775" t="e">
        <f t="shared" si="11"/>
        <v>#N/A</v>
      </c>
      <c r="V34" s="774" t="s">
        <v>17</v>
      </c>
      <c r="W34" s="775" t="e">
        <f t="shared" si="12"/>
        <v>#N/A</v>
      </c>
      <c r="X34" s="1816"/>
      <c r="Y34" s="3178"/>
      <c r="Z34" s="1817" t="str">
        <f t="shared" si="13"/>
        <v>宗地面积</v>
      </c>
      <c r="AA34" s="1814" t="e">
        <f t="shared" si="3"/>
        <v>#N/A</v>
      </c>
      <c r="AB34" s="1814" t="e">
        <f t="shared" si="4"/>
        <v>#N/A</v>
      </c>
      <c r="AC34" s="1814" t="e">
        <f t="shared" si="5"/>
        <v>#N/A</v>
      </c>
    </row>
    <row r="35" spans="1:29" ht="15">
      <c r="A35" s="472"/>
      <c r="B35" s="422" t="s">
        <v>2752</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178"/>
      <c r="Q36" s="1813"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2755</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178" t="s">
        <v>2565</v>
      </c>
      <c r="Q37" s="1813" t="str">
        <f t="shared" si="14"/>
        <v>工程地质条件</v>
      </c>
      <c r="R37" s="774" t="s">
        <v>17</v>
      </c>
      <c r="S37" s="775">
        <f t="shared" si="10"/>
        <v>100</v>
      </c>
      <c r="T37" s="774" t="s">
        <v>17</v>
      </c>
      <c r="U37" s="775">
        <f t="shared" si="11"/>
        <v>100</v>
      </c>
      <c r="V37" s="774" t="s">
        <v>17</v>
      </c>
      <c r="W37" s="775">
        <f t="shared" si="12"/>
        <v>100</v>
      </c>
      <c r="X37" s="1816"/>
      <c r="Y37" s="3178" t="s">
        <v>2565</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2720</v>
      </c>
      <c r="B41" s="2704" t="s">
        <v>2800</v>
      </c>
      <c r="C41" s="682" t="s">
        <v>1</v>
      </c>
      <c r="D41" s="481"/>
      <c r="E41" s="482"/>
      <c r="F41" s="483"/>
      <c r="G41" s="484"/>
      <c r="H41" s="485"/>
      <c r="I41" s="482"/>
      <c r="J41" s="485"/>
      <c r="K41" s="783"/>
      <c r="L41" s="1145"/>
      <c r="M41" s="1133"/>
      <c r="N41" s="1133"/>
      <c r="O41" s="1146"/>
      <c r="P41" s="3171" t="str">
        <f>A41</f>
        <v>成交单价</v>
      </c>
      <c r="Q41" s="3171"/>
      <c r="R41" s="3166">
        <f>E41</f>
        <v>0</v>
      </c>
      <c r="S41" s="3166"/>
      <c r="T41" s="3166">
        <f>G41</f>
        <v>0</v>
      </c>
      <c r="U41" s="3166"/>
      <c r="V41" s="3166">
        <f>I41</f>
        <v>0</v>
      </c>
      <c r="W41" s="3166"/>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5"/>
      <c r="M42" s="1133"/>
      <c r="N42" s="1133"/>
      <c r="O42" s="1146"/>
      <c r="P42" s="3171" t="str">
        <f>A42</f>
        <v>比较价值（元/平方米）</v>
      </c>
      <c r="Q42" s="3171"/>
      <c r="R42" s="3225" t="e">
        <f>ROUND(PRODUCT(R41,AA7:AA40),0)</f>
        <v>#DIV/0!</v>
      </c>
      <c r="S42" s="3225"/>
      <c r="T42" s="3225" t="e">
        <f>ROUND(PRODUCT(T41,AB7:AB40),0)</f>
        <v>#DIV/0!</v>
      </c>
      <c r="U42" s="3225"/>
      <c r="V42" s="3225" t="e">
        <f>ROUND(PRODUCT(V41,AC7:AC40),0)</f>
        <v>#DIV/0!</v>
      </c>
      <c r="W42" s="322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5"/>
      <c r="M43" s="1133"/>
      <c r="N43" s="1133"/>
      <c r="O43" s="1146"/>
      <c r="P43" s="3168" t="str">
        <f>A43</f>
        <v>估价对象XX用房的比较价值（楼面单价，元/平方米）</v>
      </c>
      <c r="Q43" s="3169"/>
      <c r="R43" s="3226" t="e">
        <f>ROUND(AVERAGE(R42:V42),0)</f>
        <v>#DIV/0!</v>
      </c>
      <c r="S43" s="3226"/>
      <c r="T43" s="3226"/>
      <c r="U43" s="3226"/>
      <c r="V43" s="3226"/>
      <c r="W43" s="3226"/>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2758</v>
      </c>
      <c r="B50" s="685" t="s">
        <v>2759</v>
      </c>
      <c r="C50" s="2705" t="s">
        <v>2760</v>
      </c>
      <c r="D50" s="2706" t="s">
        <v>2761</v>
      </c>
      <c r="E50" s="686" t="s">
        <v>2762</v>
      </c>
      <c r="F50" s="687" t="s">
        <v>2763</v>
      </c>
      <c r="G50" s="3154" t="s">
        <v>2764</v>
      </c>
      <c r="H50" s="3227"/>
      <c r="I50" s="1817" t="s">
        <v>2801</v>
      </c>
      <c r="J50" s="1817">
        <f>项目基本情况!F35</f>
        <v>0</v>
      </c>
      <c r="K50" s="2708" t="s">
        <v>2766</v>
      </c>
      <c r="L50" s="1108"/>
      <c r="M50" s="1146"/>
      <c r="N50" s="1146"/>
      <c r="O50" s="1146"/>
    </row>
    <row r="51" spans="1:17" s="692" customFormat="1">
      <c r="A51" s="688" t="s">
        <v>2767</v>
      </c>
      <c r="B51" s="689" t="e">
        <f>C43</f>
        <v>#DIV/0!</v>
      </c>
      <c r="C51" s="690">
        <v>1</v>
      </c>
      <c r="D51" s="1165">
        <v>1</v>
      </c>
      <c r="E51" s="690">
        <f>'数据-汇总表'!E8+'数据-汇总表'!E9</f>
        <v>1141.77</v>
      </c>
      <c r="F51" s="691" t="e">
        <f t="shared" ref="F51:F60" si="15">ROUND(B51*E51/10000,0)</f>
        <v>#DIV/0!</v>
      </c>
      <c r="G51" s="3153"/>
      <c r="H51" s="3171"/>
      <c r="I51" s="944">
        <v>1</v>
      </c>
      <c r="J51" s="944">
        <v>1</v>
      </c>
      <c r="K51" s="1147"/>
      <c r="L51" s="943"/>
      <c r="M51" s="943"/>
      <c r="N51" s="943"/>
      <c r="O51" s="943"/>
    </row>
    <row r="52" spans="1:17" s="692" customFormat="1">
      <c r="A52" s="693" t="s">
        <v>2768</v>
      </c>
      <c r="B52" s="262" t="e">
        <f>ROUND($C$43*C52*D52,0)</f>
        <v>#DIV/0!</v>
      </c>
      <c r="C52" s="200">
        <f t="shared" ref="C52:C60" si="16">IF($C$50="北京市系数",I52,J52)</f>
        <v>0</v>
      </c>
      <c r="D52" s="1166">
        <v>0.25</v>
      </c>
      <c r="E52" s="694"/>
      <c r="F52" s="691" t="e">
        <f t="shared" si="15"/>
        <v>#DIV/0!</v>
      </c>
      <c r="G52" s="3228" t="s">
        <v>2769</v>
      </c>
      <c r="H52" s="1106">
        <f>项目基本情况!B37</f>
        <v>0</v>
      </c>
      <c r="I52" s="944">
        <f>SUMIF(修正!A45:A56,H52,修正!B45:B56)</f>
        <v>0</v>
      </c>
      <c r="J52" s="945"/>
      <c r="K52" s="1146"/>
      <c r="L52" s="943"/>
      <c r="M52" s="943"/>
      <c r="N52" s="943"/>
      <c r="O52" s="943"/>
    </row>
    <row r="53" spans="1:17" s="692" customFormat="1">
      <c r="A53" s="693" t="s">
        <v>2770</v>
      </c>
      <c r="B53" s="262" t="e">
        <f t="shared" ref="B53:B60" si="17">ROUND($C$43*C53*D53,0)</f>
        <v>#DIV/0!</v>
      </c>
      <c r="C53" s="200">
        <f t="shared" si="16"/>
        <v>0</v>
      </c>
      <c r="D53" s="1166">
        <v>0.25</v>
      </c>
      <c r="E53" s="694"/>
      <c r="F53" s="691" t="e">
        <f t="shared" si="15"/>
        <v>#DIV/0!</v>
      </c>
      <c r="G53" s="3228"/>
      <c r="H53" s="1106">
        <f>项目基本情况!B37</f>
        <v>0</v>
      </c>
      <c r="I53" s="944">
        <f>SUMIF(修正!A45:A56,H53,修正!C45:C56)</f>
        <v>0</v>
      </c>
      <c r="J53" s="945"/>
      <c r="K53" s="1147"/>
      <c r="L53" s="943"/>
      <c r="M53" s="943"/>
      <c r="N53" s="943"/>
      <c r="O53" s="943"/>
    </row>
    <row r="54" spans="1:17" s="692" customFormat="1">
      <c r="A54" s="693" t="s">
        <v>2771</v>
      </c>
      <c r="B54" s="262" t="e">
        <f t="shared" si="17"/>
        <v>#DIV/0!</v>
      </c>
      <c r="C54" s="200">
        <f t="shared" si="16"/>
        <v>0</v>
      </c>
      <c r="D54" s="1166">
        <v>0.25</v>
      </c>
      <c r="E54" s="694"/>
      <c r="F54" s="691" t="e">
        <f t="shared" si="15"/>
        <v>#DIV/0!</v>
      </c>
      <c r="G54" s="3228"/>
      <c r="H54" s="1106">
        <f>项目基本情况!B37</f>
        <v>0</v>
      </c>
      <c r="I54" s="944">
        <f>SUMIF(修正!A45:A56,H54,修正!D45:D56)</f>
        <v>0</v>
      </c>
      <c r="J54" s="945"/>
      <c r="K54" s="1146"/>
      <c r="L54" s="943"/>
      <c r="M54" s="943"/>
      <c r="N54" s="943"/>
      <c r="O54" s="943"/>
    </row>
    <row r="55" spans="1:17" s="692" customFormat="1">
      <c r="A55" s="693" t="s">
        <v>2772</v>
      </c>
      <c r="B55" s="262" t="e">
        <f t="shared" si="17"/>
        <v>#DIV/0!</v>
      </c>
      <c r="C55" s="200">
        <f t="shared" si="16"/>
        <v>0</v>
      </c>
      <c r="D55" s="1166">
        <v>0.25</v>
      </c>
      <c r="E55" s="694"/>
      <c r="F55" s="691" t="e">
        <f t="shared" si="15"/>
        <v>#DIV/0!</v>
      </c>
      <c r="G55" s="3228"/>
      <c r="H55" s="1106">
        <f>项目基本情况!B37</f>
        <v>0</v>
      </c>
      <c r="I55" s="944">
        <f>SUMIF(修正!A45:A56,H55,修正!E45:E56)</f>
        <v>0</v>
      </c>
      <c r="J55" s="945"/>
      <c r="K55" s="1147"/>
      <c r="L55" s="943"/>
      <c r="M55" s="943"/>
      <c r="N55" s="943"/>
      <c r="O55" s="943"/>
    </row>
    <row r="56" spans="1:17" s="692" customFormat="1">
      <c r="A56" s="693" t="s">
        <v>2773</v>
      </c>
      <c r="B56" s="262" t="e">
        <f t="shared" si="17"/>
        <v>#DIV/0!</v>
      </c>
      <c r="C56" s="200">
        <f t="shared" si="16"/>
        <v>0</v>
      </c>
      <c r="D56" s="1166">
        <v>0.25</v>
      </c>
      <c r="E56" s="261">
        <f>'数据-汇总表'!E11</f>
        <v>0</v>
      </c>
      <c r="F56" s="691" t="e">
        <f t="shared" si="15"/>
        <v>#DIV/0!</v>
      </c>
      <c r="G56" s="2709" t="s">
        <v>2774</v>
      </c>
      <c r="H56" s="1106">
        <f>项目基本情况!C37</f>
        <v>0</v>
      </c>
      <c r="I56" s="944">
        <f>SUMIF(修正!A45:A56,H56,修正!F45:F56)</f>
        <v>0</v>
      </c>
      <c r="J56" s="945"/>
      <c r="K56" s="1146"/>
      <c r="L56" s="943"/>
      <c r="M56" s="943"/>
      <c r="N56" s="943"/>
      <c r="O56" s="943"/>
    </row>
    <row r="57" spans="1:17" s="692" customFormat="1">
      <c r="A57" s="693" t="s">
        <v>2775</v>
      </c>
      <c r="B57" s="262" t="e">
        <f t="shared" si="17"/>
        <v>#DIV/0!</v>
      </c>
      <c r="C57" s="200">
        <f t="shared" si="16"/>
        <v>0</v>
      </c>
      <c r="D57" s="1166">
        <v>0.25</v>
      </c>
      <c r="E57" s="261">
        <f>'数据-汇总表'!E12</f>
        <v>0</v>
      </c>
      <c r="F57" s="691"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2777</v>
      </c>
      <c r="B58" s="262" t="e">
        <f t="shared" si="17"/>
        <v>#DIV/0!</v>
      </c>
      <c r="C58" s="200">
        <f t="shared" si="16"/>
        <v>0</v>
      </c>
      <c r="D58" s="1166">
        <v>0.25</v>
      </c>
      <c r="E58" s="261">
        <f>'数据-汇总表'!E13</f>
        <v>0</v>
      </c>
      <c r="F58" s="691"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2779</v>
      </c>
      <c r="B59" s="262" t="e">
        <f t="shared" si="17"/>
        <v>#DIV/0!</v>
      </c>
      <c r="C59" s="200">
        <f t="shared" si="16"/>
        <v>0</v>
      </c>
      <c r="D59" s="1166">
        <v>0.25</v>
      </c>
      <c r="E59" s="261">
        <f>'数据-汇总表'!E14</f>
        <v>0</v>
      </c>
      <c r="F59" s="691" t="e">
        <f t="shared" si="15"/>
        <v>#DIV/0!</v>
      </c>
      <c r="G59" s="2709" t="s">
        <v>2769</v>
      </c>
      <c r="H59" s="1106">
        <f>项目基本情况!B37</f>
        <v>0</v>
      </c>
      <c r="I59" s="944">
        <f>SUMIF(修正!A45:A56,H59,修正!H45:H56)</f>
        <v>0</v>
      </c>
      <c r="J59" s="945"/>
      <c r="K59" s="1147"/>
      <c r="L59" s="943"/>
      <c r="M59" s="943"/>
      <c r="N59" s="943"/>
      <c r="O59" s="943"/>
    </row>
    <row r="60" spans="1:17" s="692" customFormat="1" ht="15" thickBot="1">
      <c r="A60" s="693" t="s">
        <v>2780</v>
      </c>
      <c r="B60" s="262" t="e">
        <f t="shared" si="17"/>
        <v>#DIV/0!</v>
      </c>
      <c r="C60" s="200">
        <f t="shared" si="16"/>
        <v>0</v>
      </c>
      <c r="D60" s="1166">
        <v>0.25</v>
      </c>
      <c r="E60" s="261">
        <f>'数据-汇总表'!E15</f>
        <v>0</v>
      </c>
      <c r="F60" s="691" t="e">
        <f t="shared" si="15"/>
        <v>#DIV/0!</v>
      </c>
      <c r="G60" s="2710" t="s">
        <v>2774</v>
      </c>
      <c r="H60" s="1116">
        <f>项目基本情况!C37</f>
        <v>0</v>
      </c>
      <c r="I60" s="944">
        <f>SUMIF(修正!A45:A56,H60,修正!H45:H56)</f>
        <v>0</v>
      </c>
      <c r="J60" s="945"/>
      <c r="K60" s="1146"/>
      <c r="L60" s="943"/>
      <c r="M60" s="943"/>
      <c r="N60" s="943"/>
      <c r="O60" s="943"/>
    </row>
    <row r="61" spans="1:17" s="692" customFormat="1" ht="15" thickBot="1">
      <c r="A61" s="695" t="s">
        <v>2781</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2674</v>
      </c>
      <c r="B64" s="759"/>
      <c r="C64" s="764"/>
      <c r="D64" s="764"/>
      <c r="E64" s="764"/>
      <c r="F64" s="765"/>
      <c r="G64" s="765"/>
      <c r="H64" s="764"/>
      <c r="I64" s="764"/>
      <c r="J64" s="764"/>
      <c r="K64" s="766"/>
      <c r="L64" s="767"/>
      <c r="M64" s="764"/>
      <c r="N64" s="764"/>
      <c r="O64" s="1161"/>
      <c r="P64" s="503"/>
      <c r="Q64" s="504"/>
    </row>
    <row r="65" spans="1:17" s="508" customFormat="1" ht="15">
      <c r="A65" s="2711" t="s">
        <v>2782</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6" t="s">
        <v>2802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2588</v>
      </c>
      <c r="B70" s="528" t="s">
        <v>2554</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2557</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2691</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2750</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2792</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2794</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2795</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2804</v>
      </c>
      <c r="B1" s="241"/>
      <c r="C1" s="245" t="s">
        <v>2805</v>
      </c>
      <c r="D1" s="388">
        <f>SUM(D29:D30,D33:D39)</f>
        <v>0</v>
      </c>
      <c r="E1" s="2717"/>
      <c r="F1" s="2717"/>
      <c r="G1" s="2717"/>
      <c r="H1" s="2717"/>
      <c r="I1" s="2717"/>
      <c r="J1" s="2717"/>
      <c r="K1" s="1372"/>
      <c r="L1" s="2718" t="s">
        <v>2806</v>
      </c>
      <c r="M1" s="1082">
        <f>SUMPRODUCT((区片价!B5:B9=I2)*(区片价!C3:F3=E2)*(区片价!C5:F9))</f>
        <v>0</v>
      </c>
      <c r="N1" s="1085">
        <f>SUMPRODUCT((因素修正幅度!B5:B9=I2)*(因素修正幅度!C3:F3=E2)*(因素修正幅度!C5:F9))</f>
        <v>0</v>
      </c>
      <c r="O1" s="2719"/>
      <c r="P1" s="2719"/>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72"/>
      <c r="L2" s="2726" t="s">
        <v>2817</v>
      </c>
      <c r="M2" s="1083">
        <f>SUMPRODUCT((区片价!B10:B28=I2)*(区片价!C3:F3=E2)*(区片价!C10:F28))</f>
        <v>0</v>
      </c>
      <c r="N2" s="1085">
        <f>SUMPRODUCT((因素修正幅度!B10:B28=I2)*(因素修正幅度!C3:F3=E2)*(因素修正幅度!C10:F28))</f>
        <v>0</v>
      </c>
      <c r="O2" s="1372"/>
      <c r="P2" s="1372"/>
      <c r="Q2" s="1372"/>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1" t="s">
        <v>2819</v>
      </c>
      <c r="D3" s="2722" t="s">
        <v>2820</v>
      </c>
      <c r="E3" s="2727"/>
      <c r="F3" s="2728" t="s">
        <v>2821</v>
      </c>
      <c r="G3" s="915" t="e">
        <f>IF(F3="宗地容积率",'数据-汇总表'!I4,IF(F3="估价对象容积率",'数据-汇总表'!I6,'数据-汇总表'!I7))</f>
        <v>#DIV/0!</v>
      </c>
      <c r="H3" s="198" t="s">
        <v>2822</v>
      </c>
      <c r="I3" s="946"/>
      <c r="J3" s="2725" t="s">
        <v>2823</v>
      </c>
      <c r="K3" s="1372"/>
      <c r="L3" s="2726" t="s">
        <v>2824</v>
      </c>
      <c r="M3" s="1083">
        <f>SUMPRODUCT((区片价!B29:B48=I2)*(区片价!C3:F3=E2)*(区片价!C29:F48))</f>
        <v>0</v>
      </c>
      <c r="N3" s="1085">
        <f>SUMPRODUCT((因素修正幅度!B29:B48=I2)*(因素修正幅度!C3:F3=E2)*(因素修正幅度!C29:F48))</f>
        <v>0</v>
      </c>
      <c r="O3" s="1372"/>
      <c r="P3" s="1372"/>
      <c r="Q3" s="1372"/>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7"/>
      <c r="B4" s="3248"/>
      <c r="C4" s="3248"/>
      <c r="D4" s="3249"/>
      <c r="E4" s="3249"/>
      <c r="F4" s="3249"/>
      <c r="G4" s="3249"/>
      <c r="H4" s="3249"/>
      <c r="I4" s="3249"/>
      <c r="J4" s="3250"/>
      <c r="K4" s="1372"/>
      <c r="L4" s="2726" t="s">
        <v>2825</v>
      </c>
      <c r="M4" s="1083">
        <f>SUMPRODUCT((区片价!B49:B75=I2)*(区片价!C3:F3=E2)*(区片价!C49:F75))</f>
        <v>0</v>
      </c>
      <c r="N4" s="1085">
        <f>SUMPRODUCT((因素修正幅度!B49:B75=I2)*(因素修正幅度!C3:F3=E2)*(因素修正幅度!C49:F75))</f>
        <v>0</v>
      </c>
      <c r="O4" s="1372"/>
      <c r="P4" s="1372"/>
      <c r="Q4" s="1372"/>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2826</v>
      </c>
      <c r="C5" s="916" t="e">
        <f>ROUND(IF(E2="商业",IF(F16="增加",C6*C7+C16,C6*C7-C16),IF(E2="住宅",IF(F16="增加",C6*C12+C16,C6*C12-C16),IF(F16="增加",C6+C16,C6-C16))),0)</f>
        <v>#DIV/0!</v>
      </c>
      <c r="D5" s="1790">
        <f>ROUND(IF(E2="商业",IF(F16="增加",C6+C16,C6-C16)),0)</f>
        <v>0</v>
      </c>
      <c r="E5" s="2731"/>
      <c r="F5" s="2731"/>
      <c r="G5" s="2732"/>
      <c r="H5" s="2732"/>
      <c r="I5" s="2732"/>
      <c r="J5" s="2733"/>
      <c r="K5" s="2734"/>
      <c r="L5" s="2726" t="s">
        <v>2827</v>
      </c>
      <c r="M5" s="1083">
        <f>SUMPRODUCT((区片价!B76:B109=I2)*(区片价!C3:F3=E2)*(区片价!C76:F109))</f>
        <v>0</v>
      </c>
      <c r="N5" s="1085">
        <f>SUMPRODUCT((因素修正幅度!B76:B109=I2)*(因素修正幅度!C3:F3=E2)*(因素修正幅度!C76:F109))</f>
        <v>0</v>
      </c>
      <c r="O5" s="1372"/>
      <c r="P5" s="1372"/>
      <c r="Q5" s="1372"/>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2828</v>
      </c>
      <c r="B6" s="2740" t="s">
        <v>2829</v>
      </c>
      <c r="C6" s="917">
        <f>SUMIF(L1:L12,G2,M1:M12)</f>
        <v>0</v>
      </c>
      <c r="D6" s="2741" t="s">
        <v>2830</v>
      </c>
      <c r="E6" s="2742"/>
      <c r="F6" s="2742"/>
      <c r="G6" s="2743"/>
      <c r="H6" s="2743"/>
      <c r="I6" s="2743"/>
      <c r="J6" s="2744"/>
      <c r="K6" s="1845"/>
      <c r="L6" s="2726" t="s">
        <v>2831</v>
      </c>
      <c r="M6" s="1083">
        <f>SUMPRODUCT((区片价!B110:B157=I2)*(区片价!C3:F3=E2)*(区片价!C110:F157))</f>
        <v>0</v>
      </c>
      <c r="N6" s="1085">
        <f>SUMPRODUCT((因素修正幅度!B110:B157=I2)*(因素修正幅度!C3:F3=E2)*(因素修正幅度!C110:F157))</f>
        <v>0</v>
      </c>
      <c r="O6" s="1372"/>
      <c r="P6" s="1372"/>
      <c r="Q6" s="1372"/>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33" t="str">
        <f>IF(E2="商业",IF(C8="不临58条商业街","",2),"")</f>
        <v/>
      </c>
      <c r="B7" s="2745" t="s">
        <v>2832</v>
      </c>
      <c r="C7" s="918" t="e">
        <f>IF(C8="不临58条商业街",1,ROUND(1+(1.6*E8+1.2*E9+0.8*E10+0.4*E11)*C9,4))</f>
        <v>#DIV/0!</v>
      </c>
      <c r="D7" s="2746" t="s">
        <v>2833</v>
      </c>
      <c r="E7" s="947"/>
      <c r="F7" s="2747"/>
      <c r="G7" s="2748"/>
      <c r="H7" s="2748"/>
      <c r="I7" s="2748"/>
      <c r="J7" s="2749"/>
      <c r="K7" s="1845"/>
      <c r="L7" s="2726" t="s">
        <v>2834</v>
      </c>
      <c r="M7" s="1083">
        <f>SUMPRODUCT((区片价!B158:B205=I2)*(区片价!C3:F3=E2)*(区片价!C158:F205))</f>
        <v>0</v>
      </c>
      <c r="N7" s="1085">
        <f>SUMPRODUCT((因素修正幅度!B158:B205=I2)*(因素修正幅度!C3:F3=E2)*(因素修正幅度!C158:F205))</f>
        <v>0</v>
      </c>
      <c r="O7" s="1372"/>
      <c r="P7" s="1372"/>
      <c r="Q7" s="1372"/>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2835</v>
      </c>
      <c r="X7" s="1607">
        <f>G2</f>
        <v>0</v>
      </c>
      <c r="Y7" s="1607" t="s">
        <v>2836</v>
      </c>
      <c r="Z7" s="1608" t="e">
        <f>G3</f>
        <v>#DIV/0!</v>
      </c>
      <c r="AA7" s="1609"/>
      <c r="AB7" s="1609"/>
      <c r="AC7" s="1610"/>
      <c r="AD7" s="1611"/>
      <c r="AE7" s="1611"/>
      <c r="AF7" s="1611"/>
      <c r="AG7" s="1611"/>
      <c r="AH7" s="1611"/>
      <c r="AI7" s="1611"/>
      <c r="AJ7" s="1612"/>
    </row>
    <row r="8" spans="1:36" ht="15">
      <c r="A8" s="3234"/>
      <c r="B8" s="198" t="s">
        <v>2837</v>
      </c>
      <c r="C8" s="2750"/>
      <c r="D8" s="919" t="s">
        <v>139</v>
      </c>
      <c r="E8" s="920" t="e">
        <f>ROUND(C11/E7,4)</f>
        <v>#DIV/0!</v>
      </c>
      <c r="F8" s="2751" t="s">
        <v>2838</v>
      </c>
      <c r="G8" s="2752"/>
      <c r="H8" s="2752"/>
      <c r="I8" s="2752"/>
      <c r="J8" s="2753"/>
      <c r="K8" s="1372"/>
      <c r="L8" s="2726" t="s">
        <v>2839</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44" t="s">
        <v>2840</v>
      </c>
      <c r="X8" s="3245"/>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34"/>
      <c r="B9" s="198" t="s">
        <v>2853</v>
      </c>
      <c r="C9" s="921">
        <f>SUMIF(修正!C59:C119,C8,修正!E59:E119)</f>
        <v>0</v>
      </c>
      <c r="D9" s="200" t="s">
        <v>140</v>
      </c>
      <c r="E9" s="200" t="e">
        <f>ROUND(C11/E7,4)</f>
        <v>#DIV/0!</v>
      </c>
      <c r="F9" s="2751" t="s">
        <v>2854</v>
      </c>
      <c r="G9" s="2752"/>
      <c r="H9" s="2752"/>
      <c r="I9" s="2752"/>
      <c r="J9" s="2753"/>
      <c r="K9" s="1372"/>
      <c r="L9" s="2726" t="s">
        <v>2855</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46"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4"/>
      <c r="B10" s="198" t="s">
        <v>2858</v>
      </c>
      <c r="C10" s="200">
        <f>SUMIF(修正!C59:C119,C8,修正!F59:F119)</f>
        <v>0</v>
      </c>
      <c r="D10" s="200" t="s">
        <v>141</v>
      </c>
      <c r="E10" s="200" t="e">
        <f>ROUND(C11/E7,4)</f>
        <v>#DIV/0!</v>
      </c>
      <c r="F10" s="2751" t="s">
        <v>2859</v>
      </c>
      <c r="G10" s="2752"/>
      <c r="H10" s="2752"/>
      <c r="I10" s="2752"/>
      <c r="J10" s="2753"/>
      <c r="K10" s="1372"/>
      <c r="L10" s="2726" t="s">
        <v>2860</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4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4"/>
      <c r="B11" s="2754" t="s">
        <v>2861</v>
      </c>
      <c r="C11" s="922">
        <f>C10/4</f>
        <v>0</v>
      </c>
      <c r="D11" s="922" t="s">
        <v>142</v>
      </c>
      <c r="E11" s="922" t="e">
        <f>ROUND(C11/E7,4)</f>
        <v>#DIV/0!</v>
      </c>
      <c r="F11" s="2755" t="s">
        <v>2862</v>
      </c>
      <c r="G11" s="2756"/>
      <c r="H11" s="2756"/>
      <c r="I11" s="2756"/>
      <c r="J11" s="2757"/>
      <c r="K11" s="1372"/>
      <c r="L11" s="2726" t="s">
        <v>2863</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46" t="s">
        <v>2864</v>
      </c>
      <c r="X11" s="1617" t="s">
        <v>2865</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33" t="s">
        <v>2866</v>
      </c>
      <c r="B12" s="2758" t="s">
        <v>2867</v>
      </c>
      <c r="C12" s="918">
        <f>ROUND(C15*D15*E15*F15*G15*H15*I15*J15,4)</f>
        <v>1</v>
      </c>
      <c r="D12" s="2759" t="s">
        <v>2868</v>
      </c>
      <c r="E12" s="2760"/>
      <c r="F12" s="2760"/>
      <c r="G12" s="2761"/>
      <c r="H12" s="2761"/>
      <c r="I12" s="2761"/>
      <c r="J12" s="2762"/>
      <c r="K12" s="1372"/>
      <c r="L12" s="2763" t="s">
        <v>2869</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46"/>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1"/>
      <c r="B13" s="2764" t="s">
        <v>2871</v>
      </c>
      <c r="C13" s="2765" t="s">
        <v>2872</v>
      </c>
      <c r="D13" s="1811" t="s">
        <v>2873</v>
      </c>
      <c r="E13" s="1811" t="s">
        <v>2874</v>
      </c>
      <c r="F13" s="30" t="s">
        <v>2875</v>
      </c>
      <c r="G13" s="2766" t="s">
        <v>2876</v>
      </c>
      <c r="H13" s="2766" t="s">
        <v>2876</v>
      </c>
      <c r="I13" s="2766" t="s">
        <v>2876</v>
      </c>
      <c r="J13" s="2767" t="s">
        <v>2876</v>
      </c>
      <c r="K13" s="1372"/>
      <c r="L13" s="1372"/>
      <c r="M13" s="1372"/>
      <c r="N13" s="1372"/>
      <c r="O13" s="1372"/>
      <c r="P13" s="1372"/>
      <c r="Q13" s="1372"/>
      <c r="R13" s="1605">
        <v>12</v>
      </c>
      <c r="S13" s="1606"/>
      <c r="T13" s="1605" t="e">
        <f t="shared" si="0"/>
        <v>#DIV/0!</v>
      </c>
      <c r="U13" s="1606"/>
      <c r="V13" s="1605" t="e">
        <f t="shared" si="1"/>
        <v>#DIV/0!</v>
      </c>
      <c r="W13" s="3246"/>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1"/>
      <c r="B14" s="2768"/>
      <c r="C14" s="2769"/>
      <c r="D14" s="2770"/>
      <c r="E14" s="2770"/>
      <c r="F14" s="2771"/>
      <c r="G14" s="2772" t="s">
        <v>2877</v>
      </c>
      <c r="H14" s="2773"/>
      <c r="I14" s="2774"/>
      <c r="J14" s="2775"/>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2"/>
      <c r="B15" s="2776" t="s">
        <v>2878</v>
      </c>
      <c r="C15" s="229">
        <f>IF(C14="有",1.1,1)</f>
        <v>1</v>
      </c>
      <c r="D15" s="229">
        <f>IF(D14="有",1.1,1)</f>
        <v>1</v>
      </c>
      <c r="E15" s="229">
        <f>IF(E14="有",1.1,1)</f>
        <v>1</v>
      </c>
      <c r="F15" s="229">
        <f>IF(F14="500米范围内",1.2,IF(F14="500-1000米",1.1,1))</f>
        <v>1</v>
      </c>
      <c r="G15" s="948">
        <v>1</v>
      </c>
      <c r="H15" s="948">
        <v>1</v>
      </c>
      <c r="I15" s="948">
        <v>1</v>
      </c>
      <c r="J15" s="949">
        <v>1</v>
      </c>
      <c r="K15" s="1372"/>
      <c r="L15" s="2777" t="s">
        <v>2814</v>
      </c>
      <c r="M15" s="919" t="s">
        <v>2879</v>
      </c>
      <c r="N15" s="919" t="s">
        <v>2880</v>
      </c>
      <c r="O15" s="919" t="s">
        <v>2881</v>
      </c>
      <c r="P15" s="2778" t="s">
        <v>2882</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33" t="s">
        <v>2883</v>
      </c>
      <c r="B16" s="2745" t="s">
        <v>2884</v>
      </c>
      <c r="C16" s="1804" t="e">
        <f>ROUND(SUM(G17:J17)/C17,0)</f>
        <v>#DIV/0!</v>
      </c>
      <c r="D16" s="2779" t="s">
        <v>2885</v>
      </c>
      <c r="E16" s="2780"/>
      <c r="F16" s="2781"/>
      <c r="G16" s="2782"/>
      <c r="H16" s="2782"/>
      <c r="I16" s="2782"/>
      <c r="J16" s="2783"/>
      <c r="K16" s="1372"/>
      <c r="L16" s="2784" t="s">
        <v>2886</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34"/>
      <c r="B17" s="2785" t="s">
        <v>2887</v>
      </c>
      <c r="C17" s="923">
        <f>SUMPRODUCT((修正!A2:A5=E2)*(修正!B1:M1=G2)*(修正!B2:M5))</f>
        <v>0</v>
      </c>
      <c r="D17" s="2786"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2891</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2892</v>
      </c>
      <c r="C19" s="926" t="e">
        <f>ROUND(IF(H19="按公示增长率计算",SUMPRODUCT((地价!A3:A20=YEAR(G19)&amp;"-"&amp;ROUNDUP(MONTH(G19)/3,0))*(地价!X2:AB2=E2)*(地价!X3:AB20)),IF(H19="地价指数",M20/M19,(1+I19)^O19)),4)</f>
        <v>#DIV/0!</v>
      </c>
      <c r="D19" s="2797" t="s">
        <v>2893</v>
      </c>
      <c r="E19" s="927">
        <v>41640</v>
      </c>
      <c r="F19" s="2797" t="s">
        <v>2894</v>
      </c>
      <c r="G19" s="928">
        <f>'数据-取费表'!B2</f>
        <v>43102</v>
      </c>
      <c r="H19" s="2798" t="s">
        <v>2895</v>
      </c>
      <c r="I19" s="929" t="str">
        <f>IF(H19="季度增幅（自定义）",SUMIF(N21:N24,E2,O21:O24),"")</f>
        <v/>
      </c>
      <c r="J19" s="2795"/>
      <c r="K19" s="1379"/>
      <c r="L19" s="2799" t="s">
        <v>2896</v>
      </c>
      <c r="M19" s="1737">
        <f>ROUND(SUMIF(地价!B2:F2,E2,地价!B20:F20),0)</f>
        <v>0</v>
      </c>
      <c r="N19" s="2800" t="s">
        <v>2897</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2898</v>
      </c>
      <c r="C20" s="931" t="e">
        <f>ROUND(POWER(1+G20,J20-I20)*(POWER(1+G20,I20)-1)/(POWER(1+G20,J20)-1),4)</f>
        <v>#DIV/0!</v>
      </c>
      <c r="D20" s="2806" t="s">
        <v>2899</v>
      </c>
      <c r="E20" s="1771">
        <f ca="1">存贷款利率!D4/100</f>
        <v>4.3499999999999997E-2</v>
      </c>
      <c r="F20" s="2806" t="s">
        <v>2890</v>
      </c>
      <c r="G20" s="936">
        <f>SUMIF(M15:P15,E2,M17:P17)</f>
        <v>0</v>
      </c>
      <c r="H20" s="2806" t="s">
        <v>2900</v>
      </c>
      <c r="I20" s="937" t="e">
        <f>SUMIF('数据-取费表'!C6:C15,E2,'数据-取费表'!F6:F15)/COUNTIF('数据-取费表'!C6:C15,E2)</f>
        <v>#DIV/0!</v>
      </c>
      <c r="J20" s="938">
        <f>IF(E2="住宅",70,IF(E2="商业",40,50))</f>
        <v>50</v>
      </c>
      <c r="K20" s="1379"/>
      <c r="L20" s="2807" t="s">
        <v>2901</v>
      </c>
      <c r="M20" s="1738">
        <f>ROUND(SUMPRODUCT((地价!A5:A20=YEAR(G19)&amp;"-"&amp;ROUNDUP(MONTH(G19)/3,0))*(地价!B2:F2=E2)*(地价!B5:F20)),0)</f>
        <v>0</v>
      </c>
      <c r="N20" s="2808" t="s">
        <v>2902</v>
      </c>
      <c r="O20" s="2809" t="s">
        <v>2903</v>
      </c>
      <c r="P20" s="2810" t="s">
        <v>2904</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2905</v>
      </c>
      <c r="C21" s="939" t="e">
        <f>IF(B21="容积率修正",IF(G3&lt;=10,D22,J22),C23)</f>
        <v>#DIV/0!</v>
      </c>
      <c r="D21" s="2813"/>
      <c r="E21" s="2813"/>
      <c r="F21" s="2813"/>
      <c r="G21" s="2813"/>
      <c r="H21" s="2813"/>
      <c r="I21" s="2813"/>
      <c r="J21" s="2814"/>
      <c r="K21" s="1379"/>
      <c r="N21" s="2815" t="s">
        <v>2906</v>
      </c>
      <c r="O21" s="1564"/>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3" t="s">
        <v>2909</v>
      </c>
      <c r="D22" s="1813" t="e">
        <f>IF(E22=G22,F22,IF(G3&lt;=10,ROUND(F22+(H22-F22)*(G3-E22)/(G22-E22),4),"——"))</f>
        <v>#DIV/0!</v>
      </c>
      <c r="E22" s="915"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0" t="e">
        <f>IF(G3&gt;10,D113,"——")</f>
        <v>#DIV/0!</v>
      </c>
      <c r="K22" s="1379"/>
      <c r="N22" s="2815" t="s">
        <v>2910</v>
      </c>
      <c r="O22" s="1564"/>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t="e">
        <f>ROUND(IF(G3&gt;1,IF(I3&lt;7,SUMPRODUCT((B93:B98=I3)*(C92:N92=G2)*(C93:N98)),SUMIF(C92:N92,G2,C100:N100)),IF(I3&lt;7,SUMPRODUCT((B102:B107=I3)*(C92:N92=G2)*(C102:N107)),SUMIF(C92:N92,G2,C109:N109))),4)</f>
        <v>#DIV/0!</v>
      </c>
      <c r="D23" s="2773"/>
      <c r="E23" s="2773"/>
      <c r="F23" s="2818"/>
      <c r="G23" s="2819"/>
      <c r="H23" s="2820"/>
      <c r="I23" s="2821"/>
      <c r="J23" s="2822"/>
      <c r="K23" s="1372"/>
      <c r="N23" s="2815" t="s">
        <v>2913</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0</v>
      </c>
      <c r="D24" s="2793"/>
      <c r="E24" s="2823"/>
      <c r="F24" s="2823"/>
      <c r="G24" s="2823"/>
      <c r="H24" s="2823"/>
      <c r="I24" s="2823"/>
      <c r="J24" s="2824"/>
      <c r="K24" s="1379"/>
      <c r="N24" s="2825" t="s">
        <v>2915</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9"/>
      <c r="B26" s="2816" t="s">
        <v>2918</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6" t="e">
        <f>ROUND(C5*C18*C19*C20*C21*C24,0)</f>
        <v>#DIV/0!</v>
      </c>
      <c r="D29" s="2845"/>
      <c r="E29" s="944" t="e">
        <f>ROUND(C29*D29/10000,0)</f>
        <v>#DIV/0!</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9" t="e">
        <f>ROUND(IF(E2="工业",C29*M39,C29*M38),0)</f>
        <v>#DIV/0!</v>
      </c>
      <c r="D30" s="2851"/>
      <c r="E30" s="944" t="e">
        <f>ROUND(C30*D30/10000,0)</f>
        <v>#DIV/0!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2921</v>
      </c>
      <c r="D32" s="498" t="s">
        <v>2922</v>
      </c>
      <c r="E32" s="498" t="s">
        <v>2923</v>
      </c>
      <c r="F32" s="388" t="s">
        <v>2931</v>
      </c>
      <c r="G32" s="2860" t="s">
        <v>2921</v>
      </c>
      <c r="H32" s="2860" t="s">
        <v>2922</v>
      </c>
      <c r="I32" s="2860"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41" t="s">
        <v>2932</v>
      </c>
      <c r="B33" s="2861" t="s">
        <v>2933</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42"/>
      <c r="B34" s="2765" t="s">
        <v>2934</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42"/>
      <c r="B35" s="2765" t="s">
        <v>2935</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43"/>
      <c r="B36" s="2765" t="s">
        <v>2936</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90"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2882</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2944</v>
      </c>
      <c r="B47" s="1812" t="s">
        <v>2945</v>
      </c>
      <c r="C47" s="1812" t="s">
        <v>2946</v>
      </c>
      <c r="D47" s="1812" t="s">
        <v>2947</v>
      </c>
      <c r="E47" s="818" t="s">
        <v>2948</v>
      </c>
      <c r="F47" s="2879" t="s">
        <v>2949</v>
      </c>
      <c r="G47" s="1812" t="s">
        <v>754</v>
      </c>
      <c r="H47" s="2880" t="s">
        <v>2950</v>
      </c>
      <c r="I47" s="1812" t="s">
        <v>2951</v>
      </c>
      <c r="J47" s="603" t="s">
        <v>2597</v>
      </c>
      <c r="K47" s="603" t="s">
        <v>2598</v>
      </c>
      <c r="L47" s="603" t="s">
        <v>2599</v>
      </c>
      <c r="M47" s="603" t="s">
        <v>2600</v>
      </c>
      <c r="N47" s="603" t="s">
        <v>2601</v>
      </c>
      <c r="AA47" s="1373"/>
      <c r="AB47" s="1373"/>
      <c r="AC47" s="1373"/>
      <c r="AD47" s="1373"/>
      <c r="AE47" s="1373"/>
      <c r="AF47" s="1373"/>
      <c r="AG47" s="1373"/>
      <c r="AH47" s="1373"/>
      <c r="AI47" s="1373"/>
      <c r="AJ47" s="1373"/>
      <c r="AK47" s="1373"/>
    </row>
    <row r="48" spans="1:37" s="1372" customFormat="1" ht="38.25">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2960</v>
      </c>
      <c r="B54" s="1728"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2944</v>
      </c>
      <c r="B58" s="1812"/>
      <c r="C58" s="1812" t="s">
        <v>2946</v>
      </c>
      <c r="D58" s="1812" t="s">
        <v>2947</v>
      </c>
      <c r="E58" s="818" t="s">
        <v>2948</v>
      </c>
      <c r="F58" s="2879" t="s">
        <v>2964</v>
      </c>
      <c r="G58" s="1812" t="s">
        <v>754</v>
      </c>
      <c r="H58" s="2880" t="s">
        <v>2950</v>
      </c>
      <c r="I58" s="1812" t="s">
        <v>2951</v>
      </c>
      <c r="J58" s="603" t="s">
        <v>2597</v>
      </c>
      <c r="K58" s="603" t="s">
        <v>2598</v>
      </c>
      <c r="L58" s="603" t="s">
        <v>2599</v>
      </c>
      <c r="M58" s="603" t="s">
        <v>2600</v>
      </c>
      <c r="N58" s="603" t="s">
        <v>2601</v>
      </c>
      <c r="AA58" s="1373"/>
      <c r="AB58" s="1373"/>
      <c r="AC58" s="1373"/>
      <c r="AD58" s="1373"/>
      <c r="AE58" s="1373"/>
      <c r="AF58" s="1373"/>
      <c r="AG58" s="1373"/>
      <c r="AH58" s="1373"/>
      <c r="AI58" s="1373"/>
      <c r="AJ58" s="1373"/>
      <c r="AK58" s="1373"/>
    </row>
    <row r="59" spans="1:37" s="1372" customFormat="1" ht="38.25">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2960</v>
      </c>
      <c r="B65" s="1728"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2961</v>
      </c>
      <c r="B66" s="1728"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2944</v>
      </c>
      <c r="B69" s="1812"/>
      <c r="C69" s="1812" t="s">
        <v>2946</v>
      </c>
      <c r="D69" s="1812" t="s">
        <v>2947</v>
      </c>
      <c r="E69" s="818" t="s">
        <v>2948</v>
      </c>
      <c r="F69" s="2879" t="s">
        <v>2964</v>
      </c>
      <c r="G69" s="1812" t="s">
        <v>754</v>
      </c>
      <c r="H69" s="2880" t="s">
        <v>2950</v>
      </c>
      <c r="I69" s="1812" t="s">
        <v>2951</v>
      </c>
      <c r="J69" s="603" t="s">
        <v>2597</v>
      </c>
      <c r="K69" s="603" t="s">
        <v>2598</v>
      </c>
      <c r="L69" s="603" t="s">
        <v>2599</v>
      </c>
      <c r="M69" s="603" t="s">
        <v>2600</v>
      </c>
      <c r="N69" s="603" t="s">
        <v>2601</v>
      </c>
      <c r="AA69" s="1373"/>
      <c r="AB69" s="1373"/>
      <c r="AC69" s="1373"/>
      <c r="AD69" s="1373"/>
      <c r="AE69" s="1373"/>
      <c r="AF69" s="1373"/>
      <c r="AG69" s="1373"/>
      <c r="AH69" s="1373"/>
      <c r="AI69" s="1373"/>
      <c r="AJ69" s="1373"/>
      <c r="AK69" s="1373"/>
    </row>
    <row r="70" spans="1:37" s="1372" customFormat="1" ht="5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2960</v>
      </c>
      <c r="B74" s="1728"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2961</v>
      </c>
      <c r="B75" s="1728"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v>
      </c>
      <c r="C79" s="813"/>
      <c r="D79" s="813"/>
      <c r="E79" s="814"/>
      <c r="F79" s="2877"/>
      <c r="G79" s="6"/>
      <c r="H79" s="6"/>
      <c r="I79" s="6"/>
      <c r="J79" s="7"/>
      <c r="K79" s="7"/>
      <c r="L79" s="7"/>
      <c r="M79" s="7"/>
      <c r="N79" s="7"/>
      <c r="Z79" s="2720"/>
      <c r="AA79" s="2796"/>
      <c r="AG79" s="1374"/>
      <c r="AK79" s="2796"/>
    </row>
    <row r="80" spans="1:37" ht="24.75">
      <c r="A80" s="2878" t="s">
        <v>2944</v>
      </c>
      <c r="B80" s="1812"/>
      <c r="C80" s="1812" t="s">
        <v>2946</v>
      </c>
      <c r="D80" s="1812" t="s">
        <v>2947</v>
      </c>
      <c r="E80" s="818" t="s">
        <v>2948</v>
      </c>
      <c r="F80" s="2879" t="s">
        <v>2964</v>
      </c>
      <c r="G80" s="1812" t="s">
        <v>754</v>
      </c>
      <c r="H80" s="2880" t="s">
        <v>2950</v>
      </c>
      <c r="I80" s="1812" t="s">
        <v>2951</v>
      </c>
      <c r="J80" s="603" t="s">
        <v>2597</v>
      </c>
      <c r="K80" s="603" t="s">
        <v>2598</v>
      </c>
      <c r="L80" s="603" t="s">
        <v>2599</v>
      </c>
      <c r="M80" s="603" t="s">
        <v>2600</v>
      </c>
      <c r="N80" s="603" t="s">
        <v>2601</v>
      </c>
      <c r="Z80" s="2720"/>
      <c r="AA80" s="2796"/>
      <c r="AG80" s="1374"/>
      <c r="AK80" s="2796"/>
    </row>
    <row r="81" spans="1:37" ht="38.25">
      <c r="A81" s="2878" t="s">
        <v>2971</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2953</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2954</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2968</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2960</v>
      </c>
      <c r="B85" s="1728"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2961</v>
      </c>
      <c r="B86" s="1728"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2958</v>
      </c>
      <c r="B87" s="2884" t="s">
        <v>2972</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2973</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35" t="s">
        <v>2974</v>
      </c>
      <c r="B90" s="3235"/>
      <c r="C90" s="3235"/>
      <c r="D90" s="3235"/>
      <c r="E90" s="3235"/>
      <c r="F90" s="3235"/>
      <c r="G90" s="3235"/>
      <c r="H90" s="3235"/>
      <c r="I90" s="3235"/>
      <c r="J90" s="3235"/>
      <c r="K90" s="2892"/>
      <c r="L90" s="2892"/>
      <c r="M90" s="2892"/>
      <c r="N90" s="2892"/>
    </row>
    <row r="91" spans="1:37">
      <c r="A91" s="3237" t="s">
        <v>2975</v>
      </c>
      <c r="B91" s="3237" t="s">
        <v>2976</v>
      </c>
      <c r="C91" s="2846" t="s">
        <v>2977</v>
      </c>
      <c r="D91" s="2847"/>
      <c r="E91" s="2847"/>
      <c r="F91" s="2847"/>
      <c r="G91" s="2847"/>
      <c r="H91" s="2847"/>
      <c r="I91" s="2847"/>
      <c r="J91" s="2893"/>
      <c r="K91" s="2894"/>
      <c r="L91" s="2894"/>
      <c r="M91" s="2894"/>
      <c r="N91" s="2894"/>
    </row>
    <row r="92" spans="1:37">
      <c r="A92" s="3237"/>
      <c r="B92" s="3237"/>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38" t="s">
        <v>2978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3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3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3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3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3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39"/>
      <c r="B99" s="2895" t="s">
        <v>2857</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4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38" t="s">
        <v>2979</v>
      </c>
      <c r="B101" s="2899" t="s">
        <v>2980</v>
      </c>
      <c r="C101" s="2900" t="e">
        <f>$G$3</f>
        <v>#DIV/0!</v>
      </c>
      <c r="D101" s="2900" t="e">
        <f t="shared" ref="D101:N101" si="31">$G$3</f>
        <v>#DIV/0!</v>
      </c>
      <c r="E101" s="2900" t="e">
        <f t="shared" si="31"/>
        <v>#DIV/0!</v>
      </c>
      <c r="F101" s="2900" t="e">
        <f t="shared" si="31"/>
        <v>#DIV/0!</v>
      </c>
      <c r="G101" s="2900" t="e">
        <f t="shared" si="31"/>
        <v>#DIV/0!</v>
      </c>
      <c r="H101" s="2900" t="e">
        <f t="shared" si="31"/>
        <v>#DIV/0!</v>
      </c>
      <c r="I101" s="2900" t="e">
        <f t="shared" si="31"/>
        <v>#DIV/0!</v>
      </c>
      <c r="J101" s="2900" t="e">
        <f t="shared" si="31"/>
        <v>#DIV/0!</v>
      </c>
      <c r="K101" s="2900" t="e">
        <f t="shared" si="31"/>
        <v>#DIV/0!</v>
      </c>
      <c r="L101" s="2900" t="e">
        <f t="shared" si="31"/>
        <v>#DIV/0!</v>
      </c>
      <c r="M101" s="2900" t="e">
        <f t="shared" si="31"/>
        <v>#DIV/0!</v>
      </c>
      <c r="N101" s="2900" t="e">
        <f t="shared" si="31"/>
        <v>#DIV/0!</v>
      </c>
    </row>
    <row r="102" spans="1:14">
      <c r="A102" s="3239"/>
      <c r="B102" s="2895">
        <v>1</v>
      </c>
      <c r="C102" s="2896" t="e">
        <f>1.9362/C101</f>
        <v>#DIV/0!</v>
      </c>
      <c r="D102" s="2896" t="e">
        <f>1.9362/D101</f>
        <v>#DIV/0!</v>
      </c>
      <c r="E102" s="2896" t="e">
        <f>1.8629/E101</f>
        <v>#DIV/0!</v>
      </c>
      <c r="F102" s="2896" t="e">
        <f>1.8629/F101</f>
        <v>#DIV/0!</v>
      </c>
      <c r="G102" s="2896" t="e">
        <f>1.8629/G101</f>
        <v>#DIV/0!</v>
      </c>
      <c r="H102" s="2896" t="e">
        <f>1.8629/H101</f>
        <v>#DIV/0!</v>
      </c>
      <c r="I102" s="2896" t="e">
        <f>1.8629/I101</f>
        <v>#DIV/0!</v>
      </c>
      <c r="J102" s="2896" t="e">
        <f>1.942/J101</f>
        <v>#DIV/0!</v>
      </c>
      <c r="K102" s="2896" t="e">
        <f>1.942/K101</f>
        <v>#DIV/0!</v>
      </c>
      <c r="L102" s="2896" t="e">
        <f>1.942/L101</f>
        <v>#DIV/0!</v>
      </c>
      <c r="M102" s="2896" t="e">
        <f>1.942/M101</f>
        <v>#DIV/0!</v>
      </c>
      <c r="N102" s="2896" t="e">
        <f>1.942/N101</f>
        <v>#DIV/0!</v>
      </c>
    </row>
    <row r="103" spans="1:14">
      <c r="A103" s="3239"/>
      <c r="B103" s="2895">
        <v>2</v>
      </c>
      <c r="C103" s="2896" t="e">
        <f>1.4198/C101</f>
        <v>#DIV/0!</v>
      </c>
      <c r="D103" s="2896" t="e">
        <f>1.4198/D101</f>
        <v>#DIV/0!</v>
      </c>
      <c r="E103" s="2896" t="e">
        <f>1.3372/E101</f>
        <v>#DIV/0!</v>
      </c>
      <c r="F103" s="2896" t="e">
        <f>1.3372/F101</f>
        <v>#DIV/0!</v>
      </c>
      <c r="G103" s="2896" t="e">
        <f>1.3372/G101</f>
        <v>#DIV/0!</v>
      </c>
      <c r="H103" s="2896" t="e">
        <f>1.3372/H101</f>
        <v>#DIV/0!</v>
      </c>
      <c r="I103" s="2896" t="e">
        <f>1.3372/I101</f>
        <v>#DIV/0!</v>
      </c>
      <c r="J103" s="2896" t="e">
        <f>1.2799/J101</f>
        <v>#DIV/0!</v>
      </c>
      <c r="K103" s="2896" t="e">
        <f>1.2799/K101</f>
        <v>#DIV/0!</v>
      </c>
      <c r="L103" s="2896" t="e">
        <f>1.2799/L101</f>
        <v>#DIV/0!</v>
      </c>
      <c r="M103" s="2896" t="e">
        <f>1.2799/M101</f>
        <v>#DIV/0!</v>
      </c>
      <c r="N103" s="2896" t="e">
        <f>1.2799/N101</f>
        <v>#DIV/0!</v>
      </c>
    </row>
    <row r="104" spans="1:14">
      <c r="A104" s="3239"/>
      <c r="B104" s="2895">
        <v>3</v>
      </c>
      <c r="C104" s="2896" t="e">
        <f>1.1594/C101</f>
        <v>#DIV/0!</v>
      </c>
      <c r="D104" s="2896" t="e">
        <f>1.1594/D101</f>
        <v>#DIV/0!</v>
      </c>
      <c r="E104" s="2896" t="e">
        <f>1.0788/E101</f>
        <v>#DIV/0!</v>
      </c>
      <c r="F104" s="2896" t="e">
        <f>1.0788/F101</f>
        <v>#DIV/0!</v>
      </c>
      <c r="G104" s="2896" t="e">
        <f>1.0788/G101</f>
        <v>#DIV/0!</v>
      </c>
      <c r="H104" s="2896" t="e">
        <f>1.0788/H101</f>
        <v>#DIV/0!</v>
      </c>
      <c r="I104" s="2896" t="e">
        <f>1.0788/I101</f>
        <v>#DIV/0!</v>
      </c>
      <c r="J104" s="2896" t="e">
        <f>1.0072/J101</f>
        <v>#DIV/0!</v>
      </c>
      <c r="K104" s="2896" t="e">
        <f>1.0072/K101</f>
        <v>#DIV/0!</v>
      </c>
      <c r="L104" s="2896" t="e">
        <f>1.0072/L101</f>
        <v>#DIV/0!</v>
      </c>
      <c r="M104" s="2896" t="e">
        <f>1.0072/M101</f>
        <v>#DIV/0!</v>
      </c>
      <c r="N104" s="2896" t="e">
        <f>1.0072/N101</f>
        <v>#DIV/0!</v>
      </c>
    </row>
    <row r="105" spans="1:14">
      <c r="A105" s="3239"/>
      <c r="B105" s="2895">
        <v>4</v>
      </c>
      <c r="C105" s="2896" t="e">
        <f>0.9622/C101</f>
        <v>#DIV/0!</v>
      </c>
      <c r="D105" s="2896" t="e">
        <f>0.9622/D101</f>
        <v>#DIV/0!</v>
      </c>
      <c r="E105" s="2896" t="e">
        <f>0.8656/E101</f>
        <v>#DIV/0!</v>
      </c>
      <c r="F105" s="2896" t="e">
        <f>0.8656/F101</f>
        <v>#DIV/0!</v>
      </c>
      <c r="G105" s="2896" t="e">
        <f>0.8656/G101</f>
        <v>#DIV/0!</v>
      </c>
      <c r="H105" s="2896" t="e">
        <f>0.8656/H101</f>
        <v>#DIV/0!</v>
      </c>
      <c r="I105" s="2896" t="e">
        <f>0.8656/I101</f>
        <v>#DIV/0!</v>
      </c>
      <c r="J105" s="2896" t="e">
        <f>0.7525/J101</f>
        <v>#DIV/0!</v>
      </c>
      <c r="K105" s="2896" t="e">
        <f>0.7525/K101</f>
        <v>#DIV/0!</v>
      </c>
      <c r="L105" s="2896" t="e">
        <f>0.7525/L101</f>
        <v>#DIV/0!</v>
      </c>
      <c r="M105" s="2896" t="e">
        <f>0.7525/M101</f>
        <v>#DIV/0!</v>
      </c>
      <c r="N105" s="2896" t="e">
        <f>0.7525/N101</f>
        <v>#DIV/0!</v>
      </c>
    </row>
    <row r="106" spans="1:14">
      <c r="A106" s="3239"/>
      <c r="B106" s="2895">
        <v>5</v>
      </c>
      <c r="C106" s="2896" t="e">
        <f>0.8417/C101</f>
        <v>#DIV/0!</v>
      </c>
      <c r="D106" s="2896" t="e">
        <f>0.8417/D101</f>
        <v>#DIV/0!</v>
      </c>
      <c r="E106" s="2896" t="e">
        <f>0.7371/E101</f>
        <v>#DIV/0!</v>
      </c>
      <c r="F106" s="2896" t="e">
        <f>0.7371/F101</f>
        <v>#DIV/0!</v>
      </c>
      <c r="G106" s="2896" t="e">
        <f>0.7371/G101</f>
        <v>#DIV/0!</v>
      </c>
      <c r="H106" s="2896" t="e">
        <f>0.7371/H101</f>
        <v>#DIV/0!</v>
      </c>
      <c r="I106" s="2896" t="e">
        <f>0.7371/I101</f>
        <v>#DIV/0!</v>
      </c>
      <c r="J106" s="2896" t="e">
        <f>0.5659/J101</f>
        <v>#DIV/0!</v>
      </c>
      <c r="K106" s="2896" t="e">
        <f>0.5659/K101</f>
        <v>#DIV/0!</v>
      </c>
      <c r="L106" s="2896" t="e">
        <f>0.5659/L101</f>
        <v>#DIV/0!</v>
      </c>
      <c r="M106" s="2896" t="e">
        <f>0.5659/M101</f>
        <v>#DIV/0!</v>
      </c>
      <c r="N106" s="2896" t="e">
        <f>0.5659/N101</f>
        <v>#DIV/0!</v>
      </c>
    </row>
    <row r="107" spans="1:14">
      <c r="A107" s="3239"/>
      <c r="B107" s="2895">
        <v>6</v>
      </c>
      <c r="C107" s="2896" t="e">
        <f>0.7608/C101</f>
        <v>#DIV/0!</v>
      </c>
      <c r="D107" s="2896" t="e">
        <f>0.7608/D101</f>
        <v>#DIV/0!</v>
      </c>
      <c r="E107" s="2896" t="e">
        <f>0.6482/E101</f>
        <v>#DIV/0!</v>
      </c>
      <c r="F107" s="2896" t="e">
        <f>0.6482/F101</f>
        <v>#DIV/0!</v>
      </c>
      <c r="G107" s="2896" t="e">
        <f>0.6482/G101</f>
        <v>#DIV/0!</v>
      </c>
      <c r="H107" s="2896" t="e">
        <f>0.6482/H101</f>
        <v>#DIV/0!</v>
      </c>
      <c r="I107" s="2896" t="e">
        <f>0.6482/I101</f>
        <v>#DIV/0!</v>
      </c>
      <c r="J107" s="2896" t="e">
        <f>0.4525/J101</f>
        <v>#DIV/0!</v>
      </c>
      <c r="K107" s="2896" t="e">
        <f>0.4525/K101</f>
        <v>#DIV/0!</v>
      </c>
      <c r="L107" s="2896" t="e">
        <f>0.4525/L101</f>
        <v>#DIV/0!</v>
      </c>
      <c r="M107" s="2896" t="e">
        <f>0.4525/M101</f>
        <v>#DIV/0!</v>
      </c>
      <c r="N107" s="2896" t="e">
        <f>0.4525/N101</f>
        <v>#DIV/0!</v>
      </c>
    </row>
    <row r="108" spans="1:14">
      <c r="A108" s="3239"/>
      <c r="B108" s="3067" t="s">
        <v>2981</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40"/>
      <c r="B109" s="3068"/>
      <c r="C109" s="2898" t="e">
        <f>(-0.163*(C108^2)-0.59*C108+7617)*(10^(-4))/C101</f>
        <v>#DIV/0!</v>
      </c>
      <c r="D109" s="2898" t="e">
        <f>(-0.163*(D108^2)-0.59*D108+7617)*(10^(-4))/D101</f>
        <v>#DIV/0!</v>
      </c>
      <c r="E109" s="2898" t="e">
        <f>(-0.161*(E108^2)-7.509*E108+6533)*(10^(-4))/E101</f>
        <v>#DIV/0!</v>
      </c>
      <c r="F109" s="2898" t="e">
        <f>(-0.161*(F108^2)-7.509*F108+6533)*(10^(-4))/F101</f>
        <v>#DIV/0!</v>
      </c>
      <c r="G109" s="2898" t="e">
        <f>(-0.161*(G108^2)-7.509*G108+6533)*(10^(-4))/G101</f>
        <v>#DIV/0!</v>
      </c>
      <c r="H109" s="2898" t="e">
        <f>(-0.161*(H108^2)-7.509*H108+6533)*(10^(-4))/H101</f>
        <v>#DIV/0!</v>
      </c>
      <c r="I109" s="2898" t="e">
        <f>(-0.161*(I108^2)-7.509*I108+6533)*(10^(-4))/I101</f>
        <v>#DIV/0!</v>
      </c>
      <c r="J109" s="2898" t="e">
        <f>(-0.214*(J108^2)-21.991*J108+4665)*(10^(-4))/J101</f>
        <v>#DIV/0!</v>
      </c>
      <c r="K109" s="2898" t="e">
        <f>(-0.214*(K108^2)-21.991*K108+4665)*(10^(-4))/K101</f>
        <v>#DIV/0!</v>
      </c>
      <c r="L109" s="2898" t="e">
        <f>(-0.214*(L108^2)-21.991*L108+4665)*(10^(-4))/L101</f>
        <v>#DIV/0!</v>
      </c>
      <c r="M109" s="2898" t="e">
        <f>(-0.214*(M108^2)-21.991*M108+4665)*(10^(-4))/M101</f>
        <v>#DIV/0!</v>
      </c>
      <c r="N109" s="2898" t="e">
        <f>(-0.214*(N108^2)-21.991*N108+4665)*(10^(-4))/N101</f>
        <v>#DIV/0!</v>
      </c>
    </row>
    <row r="110" spans="1:14">
      <c r="A110" s="3236" t="s">
        <v>2982</v>
      </c>
      <c r="B110" s="3236"/>
      <c r="C110" s="3236"/>
      <c r="D110" s="3236"/>
      <c r="E110" s="3236"/>
      <c r="F110" s="3236"/>
      <c r="G110" s="3236"/>
      <c r="H110" s="3236"/>
      <c r="I110" s="3236"/>
      <c r="J110" s="3236"/>
      <c r="K110" s="2901"/>
      <c r="L110" s="2901"/>
      <c r="M110" s="2901"/>
      <c r="N110" s="2901"/>
    </row>
    <row r="112" spans="1:14" ht="13.5" thickBot="1"/>
    <row r="113" spans="1:13" ht="25.5" thickBot="1">
      <c r="A113" s="902" t="s">
        <v>2983</v>
      </c>
      <c r="B113" s="1289" t="e">
        <f>G3</f>
        <v>#DIV/0!</v>
      </c>
      <c r="C113" s="903" t="s">
        <v>2984</v>
      </c>
      <c r="D113" s="904" t="e">
        <f>SUMPRODUCT((A115:A118=F113)*(B114:M114=H113)*B115:M118)</f>
        <v>#DIV/0!</v>
      </c>
      <c r="E113" s="2724" t="s">
        <v>2814</v>
      </c>
      <c r="F113" s="2903">
        <f>E2</f>
        <v>0</v>
      </c>
      <c r="G113" s="2724" t="s">
        <v>2815</v>
      </c>
      <c r="H113" s="2903">
        <f>G2</f>
        <v>0</v>
      </c>
      <c r="I113" s="2724"/>
      <c r="J113" s="2904"/>
      <c r="K113" s="2904"/>
      <c r="L113" s="2904"/>
      <c r="M113" s="2904"/>
    </row>
    <row r="114" spans="1:13">
      <c r="A114" s="907"/>
      <c r="B114" s="2905" t="s">
        <v>2985</v>
      </c>
      <c r="C114" s="2905" t="s">
        <v>2986</v>
      </c>
      <c r="D114" s="2905" t="s">
        <v>2987</v>
      </c>
      <c r="E114" s="2906" t="s">
        <v>2988</v>
      </c>
      <c r="F114" s="2906" t="s">
        <v>2989</v>
      </c>
      <c r="G114" s="2906" t="s">
        <v>2990</v>
      </c>
      <c r="H114" s="2907" t="s">
        <v>2991</v>
      </c>
      <c r="I114" s="2907" t="s">
        <v>2992</v>
      </c>
      <c r="J114" s="2908" t="s">
        <v>2993</v>
      </c>
      <c r="K114" s="2908" t="s">
        <v>2994</v>
      </c>
      <c r="L114" s="2908" t="s">
        <v>2995</v>
      </c>
      <c r="M114" s="2909" t="s">
        <v>2996</v>
      </c>
    </row>
    <row r="115" spans="1:13">
      <c r="A115" s="908" t="s">
        <v>2879</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2880</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2881</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4" t="s">
        <v>2882</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53" t="s">
        <v>183</v>
      </c>
      <c r="B18" s="881" t="s">
        <v>560</v>
      </c>
      <c r="C18" s="882" t="s">
        <v>561</v>
      </c>
      <c r="D18" s="883"/>
      <c r="E18" s="881">
        <v>1</v>
      </c>
      <c r="F18" s="884" t="s">
        <v>562</v>
      </c>
      <c r="G18" s="885"/>
      <c r="H18" s="877"/>
      <c r="I18" s="877"/>
    </row>
    <row r="19" spans="1:9" s="886" customFormat="1" ht="19.5" customHeight="1">
      <c r="A19" s="3253"/>
      <c r="B19" s="3253" t="s">
        <v>563</v>
      </c>
      <c r="C19" s="882" t="s">
        <v>564</v>
      </c>
      <c r="D19" s="883"/>
      <c r="E19" s="881">
        <v>0.9</v>
      </c>
      <c r="F19" s="884" t="s">
        <v>565</v>
      </c>
      <c r="G19" s="885"/>
      <c r="H19" s="877"/>
      <c r="I19" s="877"/>
    </row>
    <row r="20" spans="1:9" s="886" customFormat="1" ht="19.5" customHeight="1">
      <c r="A20" s="3253"/>
      <c r="B20" s="3253"/>
      <c r="C20" s="882" t="s">
        <v>566</v>
      </c>
      <c r="D20" s="883"/>
      <c r="E20" s="881">
        <v>1.1000000000000001</v>
      </c>
      <c r="F20" s="884" t="s">
        <v>567</v>
      </c>
      <c r="G20" s="885"/>
      <c r="H20" s="877"/>
      <c r="I20" s="877"/>
    </row>
    <row r="21" spans="1:9" s="886" customFormat="1" ht="19.5" customHeight="1">
      <c r="A21" s="3253"/>
      <c r="B21" s="3253"/>
      <c r="C21" s="882" t="s">
        <v>568</v>
      </c>
      <c r="D21" s="883"/>
      <c r="E21" s="881">
        <v>0.8</v>
      </c>
      <c r="F21" s="884" t="s">
        <v>569</v>
      </c>
      <c r="G21" s="885"/>
      <c r="H21" s="877"/>
      <c r="I21" s="877"/>
    </row>
    <row r="22" spans="1:9" s="886" customFormat="1" ht="19.5" customHeight="1">
      <c r="A22" s="3253"/>
      <c r="B22" s="3253"/>
      <c r="C22" s="882" t="s">
        <v>570</v>
      </c>
      <c r="D22" s="883"/>
      <c r="E22" s="881">
        <v>0.5</v>
      </c>
      <c r="F22" s="884"/>
      <c r="G22" s="885"/>
      <c r="H22" s="877"/>
      <c r="I22" s="877"/>
    </row>
    <row r="23" spans="1:9" s="886" customFormat="1" ht="19.5" customHeight="1">
      <c r="A23" s="3253" t="s">
        <v>184</v>
      </c>
      <c r="B23" s="881" t="s">
        <v>560</v>
      </c>
      <c r="C23" s="882" t="s">
        <v>571</v>
      </c>
      <c r="D23" s="883"/>
      <c r="E23" s="881">
        <v>1</v>
      </c>
      <c r="F23" s="884" t="s">
        <v>572</v>
      </c>
      <c r="G23" s="885"/>
      <c r="H23" s="877"/>
      <c r="I23" s="877"/>
    </row>
    <row r="24" spans="1:9" s="886" customFormat="1" ht="19.5" customHeight="1">
      <c r="A24" s="3253"/>
      <c r="B24" s="3253" t="s">
        <v>563</v>
      </c>
      <c r="C24" s="882" t="s">
        <v>573</v>
      </c>
      <c r="D24" s="883"/>
      <c r="E24" s="881">
        <v>0.5</v>
      </c>
      <c r="F24" s="884"/>
      <c r="G24" s="885"/>
      <c r="H24" s="877"/>
      <c r="I24" s="877"/>
    </row>
    <row r="25" spans="1:9" s="886" customFormat="1" ht="19.5" customHeight="1">
      <c r="A25" s="3253"/>
      <c r="B25" s="3253"/>
      <c r="C25" s="882" t="s">
        <v>574</v>
      </c>
      <c r="D25" s="883"/>
      <c r="E25" s="881">
        <v>1.1000000000000001</v>
      </c>
      <c r="F25" s="884"/>
      <c r="G25" s="885"/>
      <c r="H25" s="877"/>
      <c r="I25" s="877"/>
    </row>
    <row r="26" spans="1:9" s="886" customFormat="1" ht="19.5" customHeight="1">
      <c r="A26" s="3253"/>
      <c r="B26" s="3253"/>
      <c r="C26" s="882" t="s">
        <v>575</v>
      </c>
      <c r="D26" s="883"/>
      <c r="E26" s="881">
        <v>1.1000000000000001</v>
      </c>
      <c r="F26" s="884"/>
      <c r="G26" s="885"/>
      <c r="H26" s="877"/>
      <c r="I26" s="877"/>
    </row>
    <row r="27" spans="1:9" s="886" customFormat="1" ht="19.5" customHeight="1">
      <c r="A27" s="3253"/>
      <c r="B27" s="3253"/>
      <c r="C27" s="882" t="s">
        <v>576</v>
      </c>
      <c r="D27" s="883"/>
      <c r="E27" s="881">
        <v>0.9</v>
      </c>
      <c r="F27" s="884" t="s">
        <v>577</v>
      </c>
      <c r="G27" s="885"/>
      <c r="H27" s="877"/>
      <c r="I27" s="877"/>
    </row>
    <row r="28" spans="1:9" s="886" customFormat="1" ht="19.5" customHeight="1">
      <c r="A28" s="3253"/>
      <c r="B28" s="3253"/>
      <c r="C28" s="882" t="s">
        <v>578</v>
      </c>
      <c r="D28" s="883"/>
      <c r="E28" s="881">
        <v>0.9</v>
      </c>
      <c r="F28" s="884" t="s">
        <v>579</v>
      </c>
      <c r="G28" s="885"/>
      <c r="H28" s="877"/>
      <c r="I28" s="877"/>
    </row>
    <row r="29" spans="1:9" s="886" customFormat="1" ht="19.5" customHeight="1">
      <c r="A29" s="3253"/>
      <c r="B29" s="3253"/>
      <c r="C29" s="882" t="s">
        <v>580</v>
      </c>
      <c r="D29" s="883"/>
      <c r="E29" s="881">
        <v>0.9</v>
      </c>
      <c r="F29" s="884" t="s">
        <v>581</v>
      </c>
      <c r="G29" s="885"/>
      <c r="H29" s="877"/>
      <c r="I29" s="877"/>
    </row>
    <row r="30" spans="1:9" s="886" customFormat="1" ht="19.5" customHeight="1">
      <c r="A30" s="3253"/>
      <c r="B30" s="3253"/>
      <c r="C30" s="882" t="s">
        <v>582</v>
      </c>
      <c r="D30" s="883"/>
      <c r="E30" s="881">
        <v>0.9</v>
      </c>
      <c r="F30" s="884" t="s">
        <v>583</v>
      </c>
      <c r="G30" s="885"/>
      <c r="H30" s="877"/>
      <c r="I30" s="877"/>
    </row>
    <row r="31" spans="1:9" s="886" customFormat="1" ht="19.5" customHeight="1">
      <c r="A31" s="3253"/>
      <c r="B31" s="3253"/>
      <c r="C31" s="882" t="s">
        <v>584</v>
      </c>
      <c r="D31" s="883"/>
      <c r="E31" s="881">
        <v>0.8</v>
      </c>
      <c r="F31" s="884" t="s">
        <v>585</v>
      </c>
      <c r="G31" s="885"/>
      <c r="H31" s="877"/>
      <c r="I31" s="877"/>
    </row>
    <row r="32" spans="1:9" s="886" customFormat="1" ht="19.5" customHeight="1">
      <c r="A32" s="3253"/>
      <c r="B32" s="3253"/>
      <c r="C32" s="882" t="s">
        <v>586</v>
      </c>
      <c r="D32" s="883"/>
      <c r="E32" s="881">
        <v>0.8</v>
      </c>
      <c r="F32" s="884" t="s">
        <v>587</v>
      </c>
      <c r="G32" s="885"/>
      <c r="H32" s="877"/>
      <c r="I32" s="877"/>
    </row>
    <row r="33" spans="1:9" s="886" customFormat="1" ht="19.5" customHeight="1">
      <c r="A33" s="3253" t="s">
        <v>185</v>
      </c>
      <c r="B33" s="881" t="s">
        <v>560</v>
      </c>
      <c r="C33" s="882" t="s">
        <v>588</v>
      </c>
      <c r="D33" s="883"/>
      <c r="E33" s="881">
        <v>1</v>
      </c>
      <c r="F33" s="884" t="s">
        <v>589</v>
      </c>
      <c r="G33" s="885"/>
      <c r="H33" s="877"/>
      <c r="I33" s="877"/>
    </row>
    <row r="34" spans="1:9" s="886" customFormat="1" ht="19.5" customHeight="1">
      <c r="A34" s="3253"/>
      <c r="B34" s="881" t="s">
        <v>563</v>
      </c>
      <c r="C34" s="882" t="s">
        <v>590</v>
      </c>
      <c r="D34" s="883"/>
      <c r="E34" s="881">
        <v>1.5</v>
      </c>
      <c r="F34" s="884" t="s">
        <v>591</v>
      </c>
      <c r="G34" s="885"/>
      <c r="H34" s="877"/>
      <c r="I34" s="877"/>
    </row>
    <row r="35" spans="1:9" s="886" customFormat="1" ht="19.5" customHeight="1">
      <c r="A35" s="3253" t="s">
        <v>186</v>
      </c>
      <c r="B35" s="881" t="s">
        <v>560</v>
      </c>
      <c r="C35" s="882" t="s">
        <v>592</v>
      </c>
      <c r="D35" s="883"/>
      <c r="E35" s="881">
        <v>1</v>
      </c>
      <c r="F35" s="884" t="s">
        <v>593</v>
      </c>
      <c r="G35" s="885"/>
      <c r="H35" s="877"/>
      <c r="I35" s="877"/>
    </row>
    <row r="36" spans="1:9" s="886" customFormat="1" ht="19.5" customHeight="1">
      <c r="A36" s="3253"/>
      <c r="B36" s="3253" t="s">
        <v>563</v>
      </c>
      <c r="C36" s="882" t="s">
        <v>594</v>
      </c>
      <c r="D36" s="883"/>
      <c r="E36" s="881">
        <v>1</v>
      </c>
      <c r="F36" s="884" t="s">
        <v>595</v>
      </c>
      <c r="G36" s="885"/>
      <c r="H36" s="877"/>
      <c r="I36" s="877"/>
    </row>
    <row r="37" spans="1:9" s="886" customFormat="1" ht="19.5" customHeight="1">
      <c r="A37" s="3253"/>
      <c r="B37" s="3253"/>
      <c r="C37" s="882" t="s">
        <v>596</v>
      </c>
      <c r="D37" s="883"/>
      <c r="E37" s="881">
        <v>1.5</v>
      </c>
      <c r="F37" s="884" t="s">
        <v>597</v>
      </c>
      <c r="G37" s="885"/>
      <c r="H37" s="877"/>
      <c r="I37" s="877"/>
    </row>
    <row r="38" spans="1:9" s="886" customFormat="1" ht="19.5" customHeight="1">
      <c r="A38" s="3253"/>
      <c r="B38" s="3253"/>
      <c r="C38" s="882" t="s">
        <v>598</v>
      </c>
      <c r="D38" s="883"/>
      <c r="E38" s="881">
        <v>1</v>
      </c>
      <c r="F38" s="884" t="s">
        <v>599</v>
      </c>
      <c r="G38" s="885"/>
      <c r="H38" s="877"/>
      <c r="I38" s="877"/>
    </row>
    <row r="39" spans="1:9" s="886" customFormat="1" ht="19.5" customHeight="1">
      <c r="A39" s="3253"/>
      <c r="B39" s="325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53" t="s">
        <v>614</v>
      </c>
      <c r="C61" s="817" t="s">
        <v>615</v>
      </c>
      <c r="D61" s="817" t="s">
        <v>616</v>
      </c>
      <c r="E61" s="894">
        <v>0.5</v>
      </c>
      <c r="F61" s="881">
        <v>80</v>
      </c>
    </row>
    <row r="62" spans="1:8" s="877" customFormat="1" ht="24">
      <c r="A62" s="881">
        <v>2</v>
      </c>
      <c r="B62" s="3253"/>
      <c r="C62" s="817" t="s">
        <v>617</v>
      </c>
      <c r="D62" s="817" t="s">
        <v>618</v>
      </c>
      <c r="E62" s="894">
        <v>0.5</v>
      </c>
      <c r="F62" s="881">
        <v>80</v>
      </c>
    </row>
    <row r="63" spans="1:8" s="877" customFormat="1" ht="36">
      <c r="A63" s="881">
        <v>3</v>
      </c>
      <c r="B63" s="3253"/>
      <c r="C63" s="817" t="s">
        <v>619</v>
      </c>
      <c r="D63" s="817" t="s">
        <v>620</v>
      </c>
      <c r="E63" s="894">
        <v>0.5</v>
      </c>
      <c r="F63" s="881">
        <v>80</v>
      </c>
    </row>
    <row r="64" spans="1:8" s="877" customFormat="1" ht="36">
      <c r="A64" s="881">
        <v>4</v>
      </c>
      <c r="B64" s="3253"/>
      <c r="C64" s="817" t="s">
        <v>621</v>
      </c>
      <c r="D64" s="817" t="s">
        <v>622</v>
      </c>
      <c r="E64" s="894">
        <v>0.4</v>
      </c>
      <c r="F64" s="881">
        <v>60</v>
      </c>
    </row>
    <row r="65" spans="1:6" s="877" customFormat="1" ht="36">
      <c r="A65" s="881">
        <v>5</v>
      </c>
      <c r="B65" s="3253"/>
      <c r="C65" s="817" t="s">
        <v>623</v>
      </c>
      <c r="D65" s="817" t="s">
        <v>624</v>
      </c>
      <c r="E65" s="894">
        <v>0.2</v>
      </c>
      <c r="F65" s="881">
        <v>30</v>
      </c>
    </row>
    <row r="66" spans="1:6" s="877" customFormat="1" ht="36">
      <c r="A66" s="881">
        <v>6</v>
      </c>
      <c r="B66" s="3253"/>
      <c r="C66" s="817" t="s">
        <v>625</v>
      </c>
      <c r="D66" s="817" t="s">
        <v>626</v>
      </c>
      <c r="E66" s="894">
        <v>0.3</v>
      </c>
      <c r="F66" s="881">
        <v>50</v>
      </c>
    </row>
    <row r="67" spans="1:6" s="877" customFormat="1" ht="36">
      <c r="A67" s="881">
        <v>7</v>
      </c>
      <c r="B67" s="3253"/>
      <c r="C67" s="817" t="s">
        <v>627</v>
      </c>
      <c r="D67" s="817" t="s">
        <v>628</v>
      </c>
      <c r="E67" s="894">
        <v>0.2</v>
      </c>
      <c r="F67" s="881">
        <v>30</v>
      </c>
    </row>
    <row r="68" spans="1:6" s="877" customFormat="1" ht="36">
      <c r="A68" s="881">
        <v>8</v>
      </c>
      <c r="B68" s="3253"/>
      <c r="C68" s="817" t="s">
        <v>629</v>
      </c>
      <c r="D68" s="817" t="s">
        <v>630</v>
      </c>
      <c r="E68" s="894">
        <v>0.2</v>
      </c>
      <c r="F68" s="881">
        <v>30</v>
      </c>
    </row>
    <row r="69" spans="1:6" s="877" customFormat="1" ht="36">
      <c r="A69" s="881">
        <v>9</v>
      </c>
      <c r="B69" s="3253"/>
      <c r="C69" s="817" t="s">
        <v>631</v>
      </c>
      <c r="D69" s="817" t="s">
        <v>632</v>
      </c>
      <c r="E69" s="894">
        <v>0.2</v>
      </c>
      <c r="F69" s="881">
        <v>30</v>
      </c>
    </row>
    <row r="70" spans="1:6" s="877" customFormat="1" ht="48">
      <c r="A70" s="881">
        <v>10</v>
      </c>
      <c r="B70" s="3253"/>
      <c r="C70" s="817" t="s">
        <v>633</v>
      </c>
      <c r="D70" s="817" t="s">
        <v>634</v>
      </c>
      <c r="E70" s="894">
        <v>0.2</v>
      </c>
      <c r="F70" s="881">
        <v>30</v>
      </c>
    </row>
    <row r="71" spans="1:6" s="877" customFormat="1" ht="48">
      <c r="A71" s="881">
        <v>11</v>
      </c>
      <c r="B71" s="3253"/>
      <c r="C71" s="817" t="s">
        <v>635</v>
      </c>
      <c r="D71" s="817" t="s">
        <v>636</v>
      </c>
      <c r="E71" s="894">
        <v>0.2</v>
      </c>
      <c r="F71" s="881">
        <v>30</v>
      </c>
    </row>
    <row r="72" spans="1:6" s="877" customFormat="1" ht="36">
      <c r="A72" s="881">
        <v>12</v>
      </c>
      <c r="B72" s="3253"/>
      <c r="C72" s="817" t="s">
        <v>637</v>
      </c>
      <c r="D72" s="817" t="s">
        <v>638</v>
      </c>
      <c r="E72" s="894">
        <v>0.5</v>
      </c>
      <c r="F72" s="881">
        <v>80</v>
      </c>
    </row>
    <row r="73" spans="1:6" s="877" customFormat="1" ht="24">
      <c r="A73" s="881">
        <v>13</v>
      </c>
      <c r="B73" s="3253"/>
      <c r="C73" s="817" t="s">
        <v>639</v>
      </c>
      <c r="D73" s="817" t="s">
        <v>640</v>
      </c>
      <c r="E73" s="894">
        <v>0.4</v>
      </c>
      <c r="F73" s="881">
        <v>60</v>
      </c>
    </row>
    <row r="74" spans="1:6" s="877" customFormat="1" ht="24">
      <c r="A74" s="881">
        <v>14</v>
      </c>
      <c r="B74" s="3253"/>
      <c r="C74" s="817" t="s">
        <v>641</v>
      </c>
      <c r="D74" s="817" t="s">
        <v>642</v>
      </c>
      <c r="E74" s="894">
        <v>0.2</v>
      </c>
      <c r="F74" s="881">
        <v>30</v>
      </c>
    </row>
    <row r="75" spans="1:6" s="877" customFormat="1" ht="24">
      <c r="A75" s="881">
        <v>15</v>
      </c>
      <c r="B75" s="3253"/>
      <c r="C75" s="817" t="s">
        <v>643</v>
      </c>
      <c r="D75" s="817" t="s">
        <v>644</v>
      </c>
      <c r="E75" s="894">
        <v>0.2</v>
      </c>
      <c r="F75" s="881">
        <v>30</v>
      </c>
    </row>
    <row r="76" spans="1:6" s="877" customFormat="1" ht="24">
      <c r="A76" s="881">
        <v>16</v>
      </c>
      <c r="B76" s="3253" t="s">
        <v>645</v>
      </c>
      <c r="C76" s="817" t="s">
        <v>646</v>
      </c>
      <c r="D76" s="817" t="s">
        <v>647</v>
      </c>
      <c r="E76" s="894">
        <v>0.5</v>
      </c>
      <c r="F76" s="881">
        <v>80</v>
      </c>
    </row>
    <row r="77" spans="1:6" s="877" customFormat="1" ht="24">
      <c r="A77" s="881">
        <v>17</v>
      </c>
      <c r="B77" s="3253"/>
      <c r="C77" s="817" t="s">
        <v>648</v>
      </c>
      <c r="D77" s="817" t="s">
        <v>649</v>
      </c>
      <c r="E77" s="894">
        <v>0.5</v>
      </c>
      <c r="F77" s="881">
        <v>80</v>
      </c>
    </row>
    <row r="78" spans="1:6" s="877" customFormat="1" ht="24">
      <c r="A78" s="881">
        <v>18</v>
      </c>
      <c r="B78" s="3253"/>
      <c r="C78" s="817" t="s">
        <v>650</v>
      </c>
      <c r="D78" s="817" t="s">
        <v>651</v>
      </c>
      <c r="E78" s="894">
        <v>0.2</v>
      </c>
      <c r="F78" s="881">
        <v>30</v>
      </c>
    </row>
    <row r="79" spans="1:6" s="877" customFormat="1" ht="24">
      <c r="A79" s="881">
        <v>19</v>
      </c>
      <c r="B79" s="3253"/>
      <c r="C79" s="817" t="s">
        <v>652</v>
      </c>
      <c r="D79" s="817" t="s">
        <v>653</v>
      </c>
      <c r="E79" s="894">
        <v>0.5</v>
      </c>
      <c r="F79" s="881">
        <v>80</v>
      </c>
    </row>
    <row r="80" spans="1:6" s="877" customFormat="1" ht="36">
      <c r="A80" s="881">
        <v>20</v>
      </c>
      <c r="B80" s="3253"/>
      <c r="C80" s="817" t="s">
        <v>654</v>
      </c>
      <c r="D80" s="817" t="s">
        <v>655</v>
      </c>
      <c r="E80" s="894">
        <v>0.2</v>
      </c>
      <c r="F80" s="881">
        <v>30</v>
      </c>
    </row>
    <row r="81" spans="1:6" s="877" customFormat="1" ht="36">
      <c r="A81" s="881">
        <v>21</v>
      </c>
      <c r="B81" s="3253"/>
      <c r="C81" s="817" t="s">
        <v>656</v>
      </c>
      <c r="D81" s="817" t="s">
        <v>657</v>
      </c>
      <c r="E81" s="894">
        <v>0.2</v>
      </c>
      <c r="F81" s="881">
        <v>30</v>
      </c>
    </row>
    <row r="82" spans="1:6" s="877" customFormat="1" ht="48">
      <c r="A82" s="881">
        <v>22</v>
      </c>
      <c r="B82" s="3253"/>
      <c r="C82" s="817" t="s">
        <v>658</v>
      </c>
      <c r="D82" s="817" t="s">
        <v>659</v>
      </c>
      <c r="E82" s="894">
        <v>0.2</v>
      </c>
      <c r="F82" s="881">
        <v>30</v>
      </c>
    </row>
    <row r="83" spans="1:6" s="877" customFormat="1" ht="48">
      <c r="A83" s="881">
        <v>23</v>
      </c>
      <c r="B83" s="3253"/>
      <c r="C83" s="817" t="s">
        <v>660</v>
      </c>
      <c r="D83" s="817" t="s">
        <v>661</v>
      </c>
      <c r="E83" s="894">
        <v>0.2</v>
      </c>
      <c r="F83" s="881">
        <v>30</v>
      </c>
    </row>
    <row r="84" spans="1:6" s="877" customFormat="1" ht="36">
      <c r="A84" s="881">
        <v>24</v>
      </c>
      <c r="B84" s="3253"/>
      <c r="C84" s="817" t="s">
        <v>662</v>
      </c>
      <c r="D84" s="817" t="s">
        <v>663</v>
      </c>
      <c r="E84" s="894">
        <v>0.2</v>
      </c>
      <c r="F84" s="881">
        <v>30</v>
      </c>
    </row>
    <row r="85" spans="1:6" s="877" customFormat="1" ht="36">
      <c r="A85" s="881">
        <v>25</v>
      </c>
      <c r="B85" s="3253"/>
      <c r="C85" s="817" t="s">
        <v>664</v>
      </c>
      <c r="D85" s="817" t="s">
        <v>665</v>
      </c>
      <c r="E85" s="894">
        <v>0.5</v>
      </c>
      <c r="F85" s="881">
        <v>80</v>
      </c>
    </row>
    <row r="86" spans="1:6" s="877" customFormat="1" ht="36">
      <c r="A86" s="881">
        <v>26</v>
      </c>
      <c r="B86" s="3253"/>
      <c r="C86" s="817" t="s">
        <v>666</v>
      </c>
      <c r="D86" s="817" t="s">
        <v>667</v>
      </c>
      <c r="E86" s="894">
        <v>0.2</v>
      </c>
      <c r="F86" s="881">
        <v>30</v>
      </c>
    </row>
    <row r="87" spans="1:6" s="877" customFormat="1" ht="36">
      <c r="A87" s="881">
        <v>27</v>
      </c>
      <c r="B87" s="3253"/>
      <c r="C87" s="817" t="s">
        <v>668</v>
      </c>
      <c r="D87" s="817" t="s">
        <v>669</v>
      </c>
      <c r="E87" s="894">
        <v>0.2</v>
      </c>
      <c r="F87" s="881">
        <v>30</v>
      </c>
    </row>
    <row r="88" spans="1:6" s="877" customFormat="1" ht="36">
      <c r="A88" s="881">
        <v>28</v>
      </c>
      <c r="B88" s="3253"/>
      <c r="C88" s="817" t="s">
        <v>670</v>
      </c>
      <c r="D88" s="817" t="s">
        <v>671</v>
      </c>
      <c r="E88" s="894">
        <v>0.2</v>
      </c>
      <c r="F88" s="881">
        <v>30</v>
      </c>
    </row>
    <row r="89" spans="1:6" s="877" customFormat="1" ht="24">
      <c r="A89" s="881">
        <v>29</v>
      </c>
      <c r="B89" s="3253"/>
      <c r="C89" s="817" t="s">
        <v>672</v>
      </c>
      <c r="D89" s="817" t="s">
        <v>673</v>
      </c>
      <c r="E89" s="894">
        <v>0.2</v>
      </c>
      <c r="F89" s="881">
        <v>30</v>
      </c>
    </row>
    <row r="90" spans="1:6" s="877" customFormat="1" ht="24">
      <c r="A90" s="881">
        <v>30</v>
      </c>
      <c r="B90" s="3253"/>
      <c r="C90" s="817" t="s">
        <v>674</v>
      </c>
      <c r="D90" s="817" t="s">
        <v>675</v>
      </c>
      <c r="E90" s="894">
        <v>0.2</v>
      </c>
      <c r="F90" s="881">
        <v>30</v>
      </c>
    </row>
    <row r="91" spans="1:6" s="877" customFormat="1" ht="36">
      <c r="A91" s="881">
        <v>31</v>
      </c>
      <c r="B91" s="3253"/>
      <c r="C91" s="817" t="s">
        <v>676</v>
      </c>
      <c r="D91" s="817" t="s">
        <v>677</v>
      </c>
      <c r="E91" s="894">
        <v>0.2</v>
      </c>
      <c r="F91" s="881">
        <v>30</v>
      </c>
    </row>
    <row r="92" spans="1:6" s="877" customFormat="1" ht="24">
      <c r="A92" s="881">
        <v>32</v>
      </c>
      <c r="B92" s="3253" t="s">
        <v>678</v>
      </c>
      <c r="C92" s="881" t="s">
        <v>679</v>
      </c>
      <c r="D92" s="817" t="s">
        <v>680</v>
      </c>
      <c r="E92" s="894">
        <v>0.2</v>
      </c>
      <c r="F92" s="881">
        <v>30</v>
      </c>
    </row>
    <row r="93" spans="1:6" s="877" customFormat="1" ht="36">
      <c r="A93" s="881">
        <v>33</v>
      </c>
      <c r="B93" s="3253"/>
      <c r="C93" s="881" t="s">
        <v>681</v>
      </c>
      <c r="D93" s="817" t="s">
        <v>682</v>
      </c>
      <c r="E93" s="894">
        <v>0.2</v>
      </c>
      <c r="F93" s="881">
        <v>30</v>
      </c>
    </row>
    <row r="94" spans="1:6" s="877" customFormat="1" ht="48">
      <c r="A94" s="881">
        <v>34</v>
      </c>
      <c r="B94" s="3253"/>
      <c r="C94" s="881" t="s">
        <v>683</v>
      </c>
      <c r="D94" s="817" t="s">
        <v>684</v>
      </c>
      <c r="E94" s="894">
        <v>0.2</v>
      </c>
      <c r="F94" s="881">
        <v>30</v>
      </c>
    </row>
    <row r="95" spans="1:6" s="877" customFormat="1" ht="36">
      <c r="A95" s="881">
        <v>35</v>
      </c>
      <c r="B95" s="3253"/>
      <c r="C95" s="881" t="s">
        <v>685</v>
      </c>
      <c r="D95" s="817" t="s">
        <v>686</v>
      </c>
      <c r="E95" s="894">
        <v>0.2</v>
      </c>
      <c r="F95" s="881">
        <v>30</v>
      </c>
    </row>
    <row r="96" spans="1:6" s="877" customFormat="1" ht="48">
      <c r="A96" s="881">
        <v>36</v>
      </c>
      <c r="B96" s="3253"/>
      <c r="C96" s="817" t="s">
        <v>687</v>
      </c>
      <c r="D96" s="817" t="s">
        <v>688</v>
      </c>
      <c r="E96" s="894">
        <v>0.2</v>
      </c>
      <c r="F96" s="881">
        <v>30</v>
      </c>
    </row>
    <row r="97" spans="1:6" s="877" customFormat="1" ht="36">
      <c r="A97" s="881">
        <v>37</v>
      </c>
      <c r="B97" s="3253"/>
      <c r="C97" s="881" t="s">
        <v>689</v>
      </c>
      <c r="D97" s="817" t="s">
        <v>690</v>
      </c>
      <c r="E97" s="894">
        <v>0.2</v>
      </c>
      <c r="F97" s="881">
        <v>30</v>
      </c>
    </row>
    <row r="98" spans="1:6" s="877" customFormat="1" ht="36">
      <c r="A98" s="881">
        <v>38</v>
      </c>
      <c r="B98" s="3253"/>
      <c r="C98" s="881" t="s">
        <v>691</v>
      </c>
      <c r="D98" s="817" t="s">
        <v>692</v>
      </c>
      <c r="E98" s="894">
        <v>0.2</v>
      </c>
      <c r="F98" s="881">
        <v>30</v>
      </c>
    </row>
    <row r="99" spans="1:6" s="877" customFormat="1" ht="36">
      <c r="A99" s="881">
        <v>39</v>
      </c>
      <c r="B99" s="3253" t="s">
        <v>693</v>
      </c>
      <c r="C99" s="881" t="s">
        <v>694</v>
      </c>
      <c r="D99" s="817" t="s">
        <v>695</v>
      </c>
      <c r="E99" s="894">
        <v>0.3</v>
      </c>
      <c r="F99" s="881">
        <v>50</v>
      </c>
    </row>
    <row r="100" spans="1:6" s="877" customFormat="1" ht="24">
      <c r="A100" s="881">
        <v>40</v>
      </c>
      <c r="B100" s="3253"/>
      <c r="C100" s="881" t="s">
        <v>696</v>
      </c>
      <c r="D100" s="817" t="s">
        <v>697</v>
      </c>
      <c r="E100" s="894">
        <v>0.2</v>
      </c>
      <c r="F100" s="881">
        <v>30</v>
      </c>
    </row>
    <row r="101" spans="1:6" s="877" customFormat="1" ht="36">
      <c r="A101" s="881">
        <v>41</v>
      </c>
      <c r="B101" s="325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3" t="s">
        <v>708</v>
      </c>
      <c r="C105" s="881" t="s">
        <v>709</v>
      </c>
      <c r="D105" s="817" t="s">
        <v>710</v>
      </c>
      <c r="E105" s="894">
        <v>0.2</v>
      </c>
      <c r="F105" s="881">
        <v>30</v>
      </c>
    </row>
    <row r="106" spans="1:6" s="877" customFormat="1" ht="36">
      <c r="A106" s="881">
        <v>46</v>
      </c>
      <c r="B106" s="3253"/>
      <c r="C106" s="881" t="s">
        <v>711</v>
      </c>
      <c r="D106" s="817" t="s">
        <v>712</v>
      </c>
      <c r="E106" s="894">
        <v>0.2</v>
      </c>
      <c r="F106" s="881">
        <v>30</v>
      </c>
    </row>
    <row r="107" spans="1:6" s="877" customFormat="1" ht="36">
      <c r="A107" s="881">
        <v>47</v>
      </c>
      <c r="B107" s="3253" t="s">
        <v>713</v>
      </c>
      <c r="C107" s="881" t="s">
        <v>714</v>
      </c>
      <c r="D107" s="817" t="s">
        <v>715</v>
      </c>
      <c r="E107" s="894">
        <v>0.3</v>
      </c>
      <c r="F107" s="881">
        <v>50</v>
      </c>
    </row>
    <row r="108" spans="1:6" s="877" customFormat="1" ht="36">
      <c r="A108" s="881">
        <v>48</v>
      </c>
      <c r="B108" s="325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3" t="s">
        <v>724</v>
      </c>
      <c r="C111" s="881" t="s">
        <v>725</v>
      </c>
      <c r="D111" s="817" t="s">
        <v>726</v>
      </c>
      <c r="E111" s="894">
        <v>0.2</v>
      </c>
      <c r="F111" s="881">
        <v>30</v>
      </c>
    </row>
    <row r="112" spans="1:6" s="877" customFormat="1" ht="24">
      <c r="A112" s="881">
        <v>52</v>
      </c>
      <c r="B112" s="3253"/>
      <c r="C112" s="881" t="s">
        <v>727</v>
      </c>
      <c r="D112" s="817" t="s">
        <v>728</v>
      </c>
      <c r="E112" s="894">
        <v>0.2</v>
      </c>
      <c r="F112" s="881">
        <v>30</v>
      </c>
    </row>
    <row r="113" spans="1:6" s="877" customFormat="1" ht="24">
      <c r="A113" s="881">
        <v>53</v>
      </c>
      <c r="B113" s="325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3" t="s">
        <v>737</v>
      </c>
      <c r="C116" s="881" t="s">
        <v>738</v>
      </c>
      <c r="D116" s="817" t="s">
        <v>739</v>
      </c>
      <c r="E116" s="894">
        <v>0.2</v>
      </c>
      <c r="F116" s="881">
        <v>30</v>
      </c>
    </row>
    <row r="117" spans="1:6" ht="36">
      <c r="A117" s="881">
        <v>57</v>
      </c>
      <c r="B117" s="325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3"/>
      <c r="C2" s="2953"/>
      <c r="D2" s="2953"/>
      <c r="E2" s="2953"/>
    </row>
    <row r="3" spans="1:5" ht="18">
      <c r="A3" s="2954" t="str">
        <f>IF(项目基本情况!B9="房地产市场价值","估价结果一览表（市场价值不需“结果表-1”）","估价结果一览表")</f>
        <v>估价结果一览表</v>
      </c>
      <c r="B3" s="2954"/>
      <c r="C3" s="2954"/>
      <c r="D3" s="2954"/>
      <c r="E3" s="2954"/>
    </row>
    <row r="4" spans="1:5" ht="19.5" thickBot="1">
      <c r="A4" s="1964"/>
      <c r="B4" s="2952" t="s">
        <v>1632</v>
      </c>
      <c r="C4" s="2952"/>
      <c r="D4" s="2952"/>
      <c r="E4" s="1964"/>
    </row>
    <row r="5" spans="1:5" ht="16.5" thickTop="1">
      <c r="A5" s="1962"/>
      <c r="B5" s="2950" t="s">
        <v>1624</v>
      </c>
      <c r="C5" s="1965" t="s">
        <v>1625</v>
      </c>
      <c r="D5" s="1042">
        <f ca="1">结果表!H101</f>
        <v>483</v>
      </c>
      <c r="E5" s="1962"/>
    </row>
    <row r="6" spans="1:5" ht="15.75">
      <c r="A6" s="1962"/>
      <c r="B6" s="2950"/>
      <c r="C6" s="1965" t="s">
        <v>1626</v>
      </c>
      <c r="D6" s="1042" t="str">
        <f ca="1">NUMBERSTRING(INT(D5*10000),2)&amp;"元整"</f>
        <v>肆佰捌拾叁万元整</v>
      </c>
      <c r="E6" s="1962"/>
    </row>
    <row r="7" spans="1:5" ht="15.75">
      <c r="A7" s="1962"/>
      <c r="B7" s="2955"/>
      <c r="C7" s="1966" t="s">
        <v>1627</v>
      </c>
      <c r="D7" s="1043">
        <f ca="1">结果表!H102</f>
        <v>4230</v>
      </c>
      <c r="E7" s="1962"/>
    </row>
    <row r="8" spans="1:5" ht="15.75">
      <c r="A8" s="1962"/>
      <c r="B8" s="2956" t="str">
        <f>结果表!E103</f>
        <v>2.估价师知悉的法定优先受偿款</v>
      </c>
      <c r="C8" s="1967" t="s">
        <v>1628</v>
      </c>
      <c r="D8" s="1043">
        <f>结果表!H103</f>
        <v>0</v>
      </c>
      <c r="E8" s="1962"/>
    </row>
    <row r="9" spans="1:5" ht="15.75">
      <c r="A9" s="1962"/>
      <c r="B9" s="2958"/>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49" t="str">
        <f>结果表!E107</f>
        <v>3.房地产抵押价值</v>
      </c>
      <c r="C13" s="1970" t="s">
        <v>1625</v>
      </c>
      <c r="D13" s="1045">
        <f ca="1">结果表!H107</f>
        <v>483</v>
      </c>
      <c r="E13" s="1962"/>
    </row>
    <row r="14" spans="1:5" ht="15.75">
      <c r="A14" s="1962"/>
      <c r="B14" s="2950"/>
      <c r="C14" s="1965" t="s">
        <v>1626</v>
      </c>
      <c r="D14" s="1042" t="str">
        <f ca="1">NUMBERSTRING(INT(D13*10000),2)&amp;"元整"</f>
        <v>肆佰捌拾叁万元整</v>
      </c>
      <c r="E14" s="1962"/>
    </row>
    <row r="15" spans="1:5" ht="15">
      <c r="A15" s="1962"/>
      <c r="B15" s="2955"/>
      <c r="C15" s="1966" t="s">
        <v>1636</v>
      </c>
      <c r="D15" s="1054">
        <f ca="1">结果表!H108</f>
        <v>4230</v>
      </c>
      <c r="E15" s="1962"/>
    </row>
    <row r="16" spans="1:5" ht="15">
      <c r="A16" s="1962"/>
      <c r="B16" s="2956" t="str">
        <f>结果表!E109</f>
        <v>——</v>
      </c>
      <c r="C16" s="1970" t="s">
        <v>1637</v>
      </c>
      <c r="D16" s="1971" t="str">
        <f>结果表!H109</f>
        <v>——</v>
      </c>
      <c r="E16" s="1962"/>
    </row>
    <row r="17" spans="1:5" ht="15.75">
      <c r="A17" s="1962"/>
      <c r="B17" s="2957"/>
      <c r="C17" s="1965" t="s">
        <v>1638</v>
      </c>
      <c r="D17" s="1042" t="e">
        <f>NUMBERSTRING(INT(D16*10000),2)&amp;"元整"</f>
        <v>#VALUE!</v>
      </c>
      <c r="E17" s="1962"/>
    </row>
    <row r="18" spans="1:5" ht="15">
      <c r="A18" s="1962"/>
      <c r="B18" s="2958"/>
      <c r="C18" s="1966" t="s">
        <v>1627</v>
      </c>
      <c r="D18" s="1054" t="str">
        <f>结果表!H110</f>
        <v>——</v>
      </c>
      <c r="E18" s="1962"/>
    </row>
    <row r="19" spans="1:5" ht="15.75">
      <c r="A19" s="1962"/>
      <c r="B19" s="2949" t="str">
        <f>结果表!E111</f>
        <v>——</v>
      </c>
      <c r="C19" s="1970" t="s">
        <v>1625</v>
      </c>
      <c r="D19" s="1043" t="str">
        <f>结果表!H111</f>
        <v>——</v>
      </c>
      <c r="E19" s="1962"/>
    </row>
    <row r="20" spans="1:5" ht="15.75">
      <c r="A20" s="1962"/>
      <c r="B20" s="2950"/>
      <c r="C20" s="1965" t="s">
        <v>1638</v>
      </c>
      <c r="D20" s="1042" t="e">
        <f>NUMBERSTRING(INT(D19*10000),2)&amp;"元整"</f>
        <v>#VALUE!</v>
      </c>
      <c r="E20" s="1962"/>
    </row>
    <row r="21" spans="1:5" ht="15.75" thickBot="1">
      <c r="A21" s="1962"/>
      <c r="B21" s="2951"/>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3005</v>
      </c>
    </row>
    <row r="2" spans="1:5" ht="15.75">
      <c r="A2" s="2910" t="s">
        <v>2997</v>
      </c>
      <c r="B2" s="2911" t="e">
        <f ca="1">SUMIF(B6:B13,"&lt;&gt;#ref!",B6:B13)</f>
        <v>#DIV/0!</v>
      </c>
      <c r="C2" s="2910" t="s">
        <v>2998</v>
      </c>
      <c r="D2" s="2910" t="s">
        <v>2999</v>
      </c>
      <c r="E2" s="2911" t="e">
        <f ca="1">SUM(E6:E13)</f>
        <v>#REF!</v>
      </c>
    </row>
    <row r="3" spans="1:5" ht="15.75">
      <c r="A3" s="2910" t="s">
        <v>3000</v>
      </c>
      <c r="B3" s="2911" t="e">
        <f ca="1">ROUND(B2*10000/E2,0)</f>
        <v>#DIV/0!</v>
      </c>
      <c r="C3" s="2910" t="s">
        <v>3006</v>
      </c>
      <c r="D3" s="2912"/>
      <c r="E3" s="2912"/>
    </row>
    <row r="4" spans="1:5" ht="15.75">
      <c r="A4" s="2913"/>
      <c r="B4" s="2912"/>
      <c r="C4" s="2912"/>
      <c r="D4" s="2912"/>
      <c r="E4" s="2912"/>
    </row>
    <row r="5" spans="1:5" ht="28.5">
      <c r="A5" s="2914" t="s">
        <v>3001</v>
      </c>
      <c r="B5" s="2910" t="s">
        <v>3002</v>
      </c>
      <c r="C5" s="2911"/>
      <c r="D5" s="2912"/>
      <c r="E5" s="2910" t="s">
        <v>3003</v>
      </c>
    </row>
    <row r="6" spans="1:5" ht="15.75">
      <c r="A6" s="2915" t="s">
        <v>3004</v>
      </c>
      <c r="B6" s="2911" t="e">
        <f ca="1">SUMIF(INDIRECT("'"&amp;A6&amp;"'"&amp;"!A:A"),"总价",INDIRECT("'"&amp;A6&amp;"'"&amp;"!B:B"))</f>
        <v>#DIV/0!</v>
      </c>
      <c r="C6" s="2910" t="s">
        <v>2998</v>
      </c>
      <c r="D6" s="2912"/>
      <c r="E6" s="2575">
        <f ca="1">SUMIF(INDIRECT("'"&amp;A6&amp;"'"&amp;"!C:C"),"建筑面积",INDIRECT("'"&amp;A6&amp;"'"&amp;"!D:D"))</f>
        <v>0</v>
      </c>
    </row>
    <row r="7" spans="1:5" ht="15.75">
      <c r="A7" s="2915"/>
      <c r="B7" s="2911" t="e">
        <f ca="1">SUMIF(INDIRECT("'"&amp;A7&amp;"'"&amp;"!A:A"),"总价",INDIRECT("'"&amp;A7&amp;"'"&amp;"!B:B"))</f>
        <v>#REF!</v>
      </c>
      <c r="C7" s="2910" t="s">
        <v>2998</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2998</v>
      </c>
      <c r="D8" s="2912"/>
      <c r="E8" s="2575" t="e">
        <f t="shared" ca="1" si="0"/>
        <v>#REF!</v>
      </c>
    </row>
    <row r="9" spans="1:5" ht="15.75">
      <c r="A9" s="2915"/>
      <c r="B9" s="2911" t="e">
        <f t="shared" ca="1" si="1"/>
        <v>#REF!</v>
      </c>
      <c r="C9" s="2910" t="s">
        <v>2998</v>
      </c>
      <c r="D9" s="2912"/>
      <c r="E9" s="2575" t="e">
        <f t="shared" ca="1" si="0"/>
        <v>#REF!</v>
      </c>
    </row>
    <row r="10" spans="1:5" ht="15.75">
      <c r="A10" s="2915"/>
      <c r="B10" s="2911" t="e">
        <f t="shared" ca="1" si="1"/>
        <v>#REF!</v>
      </c>
      <c r="C10" s="2910" t="s">
        <v>2998</v>
      </c>
      <c r="D10" s="2912"/>
      <c r="E10" s="2575" t="e">
        <f t="shared" ca="1" si="0"/>
        <v>#REF!</v>
      </c>
    </row>
    <row r="11" spans="1:5" ht="15.75">
      <c r="A11" s="2915"/>
      <c r="B11" s="2911" t="e">
        <f t="shared" ca="1" si="1"/>
        <v>#REF!</v>
      </c>
      <c r="C11" s="2910" t="s">
        <v>2998</v>
      </c>
      <c r="D11" s="2912"/>
      <c r="E11" s="2575" t="e">
        <f t="shared" ca="1" si="0"/>
        <v>#REF!</v>
      </c>
    </row>
    <row r="12" spans="1:5" ht="15.75">
      <c r="A12" s="2915"/>
      <c r="B12" s="2911" t="e">
        <f t="shared" ca="1" si="1"/>
        <v>#REF!</v>
      </c>
      <c r="C12" s="2910" t="s">
        <v>2998</v>
      </c>
      <c r="D12" s="2912"/>
      <c r="E12" s="2575" t="e">
        <f t="shared" ca="1" si="0"/>
        <v>#REF!</v>
      </c>
    </row>
    <row r="13" spans="1:5" ht="15.75">
      <c r="A13" s="2915"/>
      <c r="B13" s="2911" t="e">
        <f t="shared" ca="1" si="1"/>
        <v>#REF!</v>
      </c>
      <c r="C13" s="2910" t="s">
        <v>2998</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59" t="s">
        <v>1150</v>
      </c>
      <c r="C1" s="3259"/>
      <c r="D1" s="3259"/>
      <c r="E1" s="3259"/>
      <c r="F1" s="3259"/>
      <c r="G1" s="3255" t="s">
        <v>1151</v>
      </c>
      <c r="H1" s="3255"/>
      <c r="I1" s="3255"/>
      <c r="J1" s="3255"/>
      <c r="K1" s="3255"/>
      <c r="L1" s="3255"/>
      <c r="N1" s="3255" t="s">
        <v>1152</v>
      </c>
      <c r="O1" s="3255"/>
      <c r="P1" s="3255"/>
      <c r="Q1" s="3255"/>
      <c r="R1" s="1448"/>
      <c r="S1" s="3255" t="s">
        <v>1153</v>
      </c>
      <c r="T1" s="3255"/>
      <c r="U1" s="3255"/>
      <c r="V1" s="3255"/>
      <c r="X1" s="3254" t="s">
        <v>1154</v>
      </c>
      <c r="Y1" s="3255"/>
      <c r="Z1" s="3255"/>
      <c r="AA1" s="3255"/>
      <c r="AB1" s="3255"/>
      <c r="AD1" s="3254" t="s">
        <v>1155</v>
      </c>
      <c r="AE1" s="3255"/>
      <c r="AF1" s="3255"/>
      <c r="AG1" s="3255"/>
      <c r="AH1" s="3255"/>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4"/>
      <c r="J3" s="2924"/>
      <c r="K3" s="2924"/>
      <c r="L3" s="2924"/>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3040</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4">
        <f>ROUND(AVERAGE(I5:I20),2)</f>
        <v>2.4900000000000002</v>
      </c>
      <c r="J4" s="2924">
        <f t="shared" ref="J4:L4" si="7">ROUND(AVERAGE(J5:J20),2)</f>
        <v>1.64</v>
      </c>
      <c r="K4" s="2924">
        <f t="shared" si="7"/>
        <v>2.78</v>
      </c>
      <c r="L4" s="2924">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3038</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1">
        <v>2017</v>
      </c>
      <c r="H5" s="1733">
        <v>4</v>
      </c>
      <c r="I5" s="2925">
        <f>ROUND(AVERAGE(I6:I20),2)</f>
        <v>2.4900000000000002</v>
      </c>
      <c r="J5" s="2925">
        <f>ROUND(AVERAGE(J6:J20),2)</f>
        <v>1.64</v>
      </c>
      <c r="K5" s="2925">
        <f>ROUND(AVERAGE(K6:K20),2)</f>
        <v>2.78</v>
      </c>
      <c r="L5" s="2925">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3039</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3"/>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2"/>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3"/>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60">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57"/>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57"/>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58"/>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56">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57"/>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57"/>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58"/>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56">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57"/>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57"/>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58"/>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61">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62"/>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62"/>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63"/>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56">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57"/>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57"/>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58"/>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56">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57">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57">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58">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56">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57">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57">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58">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56">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57">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57">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58">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56">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57">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57">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58">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56">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57">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57">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58">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56">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57">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57">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58">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56">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57">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57">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58">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56">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57">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57">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58">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56">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57">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57">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58">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56">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57">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57">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58">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33" sqref="T3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3007</v>
      </c>
      <c r="C1" s="3265" t="s">
        <v>3008</v>
      </c>
      <c r="D1" s="3266"/>
      <c r="E1" s="3266"/>
      <c r="F1" s="3266"/>
      <c r="G1" s="3266"/>
      <c r="H1" s="3266"/>
      <c r="I1" s="3266"/>
      <c r="J1" s="3266"/>
      <c r="K1" s="3266"/>
      <c r="L1" s="3266"/>
      <c r="M1" s="3266"/>
      <c r="N1" s="3266"/>
      <c r="O1" s="3266"/>
      <c r="P1" s="3266"/>
      <c r="Q1" s="3266"/>
      <c r="R1" s="3266"/>
      <c r="S1" s="3267"/>
      <c r="T1" s="1206" t="s">
        <v>3009</v>
      </c>
    </row>
    <row r="2" spans="1:45" s="707" customFormat="1">
      <c r="A2" s="1207"/>
      <c r="B2" s="703" t="s">
        <v>3010</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100</v>
      </c>
      <c r="E3" s="710">
        <v>200</v>
      </c>
      <c r="F3" s="710">
        <v>300</v>
      </c>
      <c r="G3" s="710">
        <v>400</v>
      </c>
      <c r="H3" s="710">
        <v>500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97</v>
      </c>
      <c r="D4" s="1213">
        <v>98</v>
      </c>
      <c r="E4" s="1213">
        <v>99</v>
      </c>
      <c r="F4" s="1213">
        <v>100</v>
      </c>
      <c r="G4" s="1213">
        <v>99</v>
      </c>
      <c r="H4" s="1213">
        <v>98</v>
      </c>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3011</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3012</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3013</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3014</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3015</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3016</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3017</v>
      </c>
      <c r="B17" s="2917"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3019</v>
      </c>
      <c r="E19" s="1795"/>
      <c r="F19" s="1795"/>
      <c r="G19" s="1795"/>
      <c r="H19" s="1282"/>
      <c r="I19" s="168"/>
      <c r="J19" s="168"/>
      <c r="K19" s="168"/>
      <c r="L19" s="168"/>
      <c r="M19" s="168"/>
      <c r="N19" s="168"/>
      <c r="O19" s="168"/>
      <c r="P19" s="168"/>
      <c r="Q19" s="168"/>
      <c r="R19" s="788"/>
      <c r="S19" s="138"/>
    </row>
    <row r="20" spans="1:45" ht="16.5" thickBot="1">
      <c r="A20" s="715" t="s">
        <v>3020</v>
      </c>
      <c r="B20" s="338">
        <f ca="1">IF(D20="——",S22,S22-F20)</f>
        <v>5315</v>
      </c>
      <c r="C20" s="168"/>
      <c r="D20" s="2919" t="s">
        <v>70</v>
      </c>
      <c r="E20" s="1796"/>
      <c r="F20" s="1206" t="e">
        <f ca="1">SUMIF(INDIRECT("'"&amp;H20&amp;"'"&amp;"!A:A"),"承租人权益价值",INDIRECT("'"&amp;H20&amp;"'"&amp;"!c:c"))</f>
        <v>#REF!</v>
      </c>
      <c r="G20" s="1206" t="s">
        <v>3021</v>
      </c>
      <c r="H20" s="2920"/>
      <c r="I20" s="168"/>
      <c r="J20" s="168"/>
      <c r="K20" s="168"/>
      <c r="L20" s="168"/>
      <c r="M20" s="168"/>
      <c r="N20" s="168"/>
      <c r="O20" s="168"/>
      <c r="P20" s="168"/>
      <c r="Q20" s="168"/>
      <c r="R20" s="788"/>
      <c r="S20" s="138"/>
    </row>
    <row r="21" spans="1:45" ht="15.75">
      <c r="A21" s="715" t="s">
        <v>3022</v>
      </c>
      <c r="B21" s="338">
        <f ca="1">R22</f>
        <v>46551</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1141.77</v>
      </c>
      <c r="C22" s="3048" t="s">
        <v>33</v>
      </c>
      <c r="D22" s="3049"/>
      <c r="E22" s="3049"/>
      <c r="F22" s="3049"/>
      <c r="G22" s="3049"/>
      <c r="H22" s="3049"/>
      <c r="I22" s="3049"/>
      <c r="J22" s="3049"/>
      <c r="K22" s="3049"/>
      <c r="L22" s="3049"/>
      <c r="M22" s="3049"/>
      <c r="N22" s="3049"/>
      <c r="O22" s="3049"/>
      <c r="P22" s="3049"/>
      <c r="Q22" s="3264"/>
      <c r="R22" s="716">
        <f ca="1">ROUND(S22*10000/B22,0)</f>
        <v>46551</v>
      </c>
      <c r="S22" s="24">
        <f ca="1">SUM(S24:S10000)</f>
        <v>5315</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46586</v>
      </c>
      <c r="S24" s="719">
        <f t="shared" ref="S24:S54" ca="1" si="11">ROUND(R24*B24/10000,0)</f>
        <v>482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17层19C6</v>
      </c>
      <c r="B25" s="718">
        <f>'数据-基础表'!I14</f>
        <v>152.62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46586</v>
      </c>
      <c r="S25" s="361">
        <f t="shared" ca="1" si="11"/>
        <v>711</v>
      </c>
    </row>
    <row r="26" spans="1:45">
      <c r="A26" s="718" t="str">
        <f>'数据-基础表'!C15</f>
        <v>17层19C7</v>
      </c>
      <c r="B26" s="718">
        <f>'数据-基础表'!I15</f>
        <v>180.72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46586</v>
      </c>
      <c r="S26" s="361">
        <f t="shared" ca="1" si="11"/>
        <v>842</v>
      </c>
    </row>
    <row r="27" spans="1:45">
      <c r="A27" s="718" t="str">
        <f>'数据-基础表'!C16</f>
        <v>17层19C8</v>
      </c>
      <c r="B27" s="718">
        <f>'数据-基础表'!I16</f>
        <v>121.95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46586</v>
      </c>
      <c r="S27" s="361">
        <f t="shared" ca="1" si="11"/>
        <v>568</v>
      </c>
    </row>
    <row r="28" spans="1:45">
      <c r="A28" s="718" t="str">
        <f>'数据-基础表'!C17</f>
        <v>17层19C9</v>
      </c>
      <c r="B28" s="718">
        <f>'数据-基础表'!I17</f>
        <v>124.27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46586</v>
      </c>
      <c r="S28" s="361">
        <f t="shared" ca="1" si="11"/>
        <v>579</v>
      </c>
    </row>
    <row r="29" spans="1:45">
      <c r="A29" s="718" t="str">
        <f>'数据-基础表'!C18</f>
        <v>17层19C10</v>
      </c>
      <c r="B29" s="718">
        <f>'数据-基础表'!I18</f>
        <v>105.34</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46586</v>
      </c>
      <c r="S29" s="361">
        <f t="shared" ca="1" si="11"/>
        <v>491</v>
      </c>
    </row>
    <row r="30" spans="1:45">
      <c r="A30" s="718" t="str">
        <f>'数据-基础表'!C19</f>
        <v>17层19C11</v>
      </c>
      <c r="B30" s="718">
        <f>'数据-基础表'!I19</f>
        <v>103.53</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46586</v>
      </c>
      <c r="S30" s="361">
        <f t="shared" ca="1" si="11"/>
        <v>482</v>
      </c>
    </row>
    <row r="31" spans="1:45">
      <c r="A31" s="718" t="str">
        <f>'数据-基础表'!C20</f>
        <v>17层19C12</v>
      </c>
      <c r="B31" s="718">
        <f>'数据-基础表'!I20</f>
        <v>165.95</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46586</v>
      </c>
      <c r="S31" s="361">
        <f t="shared" ca="1" si="11"/>
        <v>773</v>
      </c>
    </row>
    <row r="32" spans="1:45">
      <c r="A32" s="718" t="str">
        <f>'数据-基础表'!C21</f>
        <v>17层19C13</v>
      </c>
      <c r="B32" s="718">
        <f>'数据-基础表'!I21</f>
        <v>83.86</v>
      </c>
      <c r="C32" s="24">
        <f t="shared" si="12"/>
        <v>0.99</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46120</v>
      </c>
      <c r="S32" s="361">
        <f t="shared" ca="1" si="11"/>
        <v>387</v>
      </c>
    </row>
    <row r="33" spans="1:19">
      <c r="A33" s="718"/>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32020</v>
      </c>
      <c r="C2" s="2" t="s">
        <v>133</v>
      </c>
      <c r="D2" s="243"/>
      <c r="E2" s="243"/>
      <c r="F2" s="243"/>
      <c r="G2" s="243"/>
    </row>
    <row r="3" spans="1:7" s="244" customFormat="1" ht="18" customHeight="1" thickBot="1">
      <c r="A3" s="247" t="s">
        <v>85</v>
      </c>
      <c r="B3" s="248">
        <f ca="1">ROUND(B2*10000/'数据-汇总表'!E3,0)</f>
        <v>280442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1141.77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23</v>
      </c>
      <c r="D19" s="1038">
        <f>'数据-汇总表'!E3</f>
        <v>1141.77</v>
      </c>
      <c r="E19" s="255">
        <f>'数据-取费表'!B31</f>
        <v>200</v>
      </c>
      <c r="F19" s="275"/>
      <c r="G19" s="1" t="s">
        <v>1074</v>
      </c>
    </row>
    <row r="20" spans="1:7" s="258" customFormat="1" ht="13.5" customHeight="1">
      <c r="A20" s="950" t="s">
        <v>1057</v>
      </c>
      <c r="B20" s="254" t="s">
        <v>104</v>
      </c>
      <c r="C20" s="276">
        <f>ROUND((C5+C19)*F20,0)</f>
        <v>619</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2035</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2</v>
      </c>
      <c r="D24" s="282"/>
      <c r="E24" s="282"/>
      <c r="F24" s="283"/>
      <c r="G24" s="284" t="s">
        <v>109</v>
      </c>
    </row>
    <row r="25" spans="1:7" s="258" customFormat="1" ht="24">
      <c r="A25" s="953" t="s">
        <v>793</v>
      </c>
      <c r="B25" s="259" t="s">
        <v>1058</v>
      </c>
      <c r="C25" s="1357">
        <f ca="1">ROUND(IF('数据-取费表'!B22&lt;=1,C20*F22*'数据-取费表'!B23/2,C20*(POWER((1+F22),'数据-取费表'!B23/2)-1)),0)</f>
        <v>29</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5313</v>
      </c>
      <c r="D27" s="279">
        <f>C29</f>
        <v>7.4999999999999997E-3</v>
      </c>
      <c r="E27" s="280" t="s">
        <v>126</v>
      </c>
      <c r="F27" s="290">
        <f>'数据-取费表'!Q16</f>
        <v>0.25</v>
      </c>
      <c r="G27" s="291" t="s">
        <v>1069</v>
      </c>
    </row>
    <row r="28" spans="1:7" s="258" customFormat="1" ht="13.5" customHeight="1">
      <c r="A28" s="953" t="s">
        <v>794</v>
      </c>
      <c r="B28" s="292" t="s">
        <v>1062</v>
      </c>
      <c r="C28" s="293">
        <f>ROUND((C5+C19+C20)*F27*'数据-取费表'!B21/'数据-取费表'!B20,0)</f>
        <v>5313</v>
      </c>
      <c r="D28" s="279"/>
      <c r="E28" s="280"/>
      <c r="F28" s="290"/>
      <c r="G28" s="291"/>
    </row>
    <row r="29" spans="1:7" s="258" customFormat="1" ht="13.5" customHeight="1">
      <c r="A29" s="953" t="s">
        <v>792</v>
      </c>
      <c r="B29" s="292" t="s">
        <v>1063</v>
      </c>
      <c r="C29" s="282">
        <f>ROUND(C21*F27*'数据-取费表'!B21/'数据-取费表'!B20,4)</f>
        <v>7.4999999999999997E-3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3" t="s">
        <v>796</v>
      </c>
      <c r="B35" s="259" t="s">
        <v>60</v>
      </c>
      <c r="C35" s="264">
        <f>ROUND(C34*F35,0)</f>
        <v>20</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23</v>
      </c>
      <c r="D37" s="261">
        <f>'数据-汇总表'!E3</f>
        <v>1141.77</v>
      </c>
      <c r="E37" s="293">
        <f>'数据-取费表'!B35</f>
        <v>200</v>
      </c>
      <c r="F37" s="303"/>
      <c r="G37" s="305" t="s">
        <v>119</v>
      </c>
    </row>
    <row r="38" spans="1:7" ht="13.5" customHeight="1">
      <c r="A38" s="953" t="s">
        <v>799</v>
      </c>
      <c r="B38" s="259" t="s">
        <v>63</v>
      </c>
      <c r="C38" s="264">
        <f>ROUND(C34*F38,0)</f>
        <v>6</v>
      </c>
      <c r="D38" s="264"/>
      <c r="E38" s="264"/>
      <c r="F38" s="303">
        <f>'数据-取费表'!B36</f>
        <v>1.4999999999999999E-2</v>
      </c>
      <c r="G38" s="263" t="s">
        <v>117</v>
      </c>
    </row>
    <row r="39" spans="1:7" s="258" customFormat="1" ht="13.5" customHeight="1">
      <c r="A39" s="950" t="s">
        <v>783</v>
      </c>
      <c r="B39" s="254" t="s">
        <v>104</v>
      </c>
      <c r="C39" s="276">
        <f>ROUND(C33*F20,0)</f>
        <v>13</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22</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21</v>
      </c>
      <c r="D42" s="282"/>
      <c r="E42" s="282"/>
      <c r="F42" s="283"/>
      <c r="G42" s="3133" t="s">
        <v>121</v>
      </c>
    </row>
    <row r="43" spans="1:7" ht="13.5" customHeight="1">
      <c r="A43" s="953" t="s">
        <v>792</v>
      </c>
      <c r="B43" s="259" t="s">
        <v>1064</v>
      </c>
      <c r="C43" s="282">
        <f ca="1">ROUND(IF('数据-取费表'!B22&lt;=1,C39*F22*'数据-取费表'!B21/2,C39*(POWER((1+F22),'数据-取费表'!B21/2)-1)),0)</f>
        <v>1</v>
      </c>
      <c r="D43" s="282"/>
      <c r="E43" s="282"/>
      <c r="F43" s="283"/>
      <c r="G43" s="3134"/>
    </row>
    <row r="44" spans="1:7" ht="13.5" customHeight="1">
      <c r="A44" s="953" t="s">
        <v>793</v>
      </c>
      <c r="B44" s="259" t="s">
        <v>1066</v>
      </c>
      <c r="C44" s="282">
        <f ca="1">ROUND(IF('数据-取费表'!B22&lt;=1,C40*F22*'数据-取费表'!B21/2,C40*(POWER((1+F22),'数据-取费表'!B21/2)-1)),4)</f>
        <v>1.4E-3</v>
      </c>
      <c r="D44" s="282"/>
      <c r="E44" s="282"/>
      <c r="F44" s="283"/>
      <c r="G44" s="3135"/>
    </row>
    <row r="45" spans="1:7" s="258" customFormat="1" ht="13.5" customHeight="1">
      <c r="A45" s="950" t="s">
        <v>786</v>
      </c>
      <c r="B45" s="288" t="s">
        <v>112</v>
      </c>
      <c r="C45" s="289">
        <f>C46</f>
        <v>115</v>
      </c>
      <c r="D45" s="279">
        <f>C47</f>
        <v>7.4999999999999997E-3</v>
      </c>
      <c r="E45" s="280" t="s">
        <v>129</v>
      </c>
      <c r="F45" s="290"/>
      <c r="G45" s="291" t="s">
        <v>1072</v>
      </c>
    </row>
    <row r="46" spans="1:7" s="258" customFormat="1" ht="13.5" customHeight="1">
      <c r="A46" s="953" t="s">
        <v>794</v>
      </c>
      <c r="B46" s="292" t="s">
        <v>1065</v>
      </c>
      <c r="C46" s="293">
        <f>ROUND((C33+C39)*F27,0)</f>
        <v>115</v>
      </c>
      <c r="D46" s="307"/>
      <c r="E46" s="280"/>
      <c r="F46" s="290"/>
      <c r="G46" s="291"/>
    </row>
    <row r="47" spans="1:7" s="258" customFormat="1" ht="13.5" customHeight="1">
      <c r="A47" s="953" t="s">
        <v>792</v>
      </c>
      <c r="B47" s="292" t="s">
        <v>1067</v>
      </c>
      <c r="C47" s="282">
        <f>ROUND(C40*F27,4)</f>
        <v>7.4999999999999997E-3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659</v>
      </c>
      <c r="D49" s="276"/>
      <c r="E49" s="276"/>
      <c r="F49" s="308"/>
      <c r="G49" s="278" t="s">
        <v>1073</v>
      </c>
    </row>
    <row r="50" spans="1:7" s="302" customFormat="1" ht="24">
      <c r="A50" s="950" t="s">
        <v>789</v>
      </c>
      <c r="B50" s="254" t="s">
        <v>124</v>
      </c>
      <c r="C50" s="276"/>
      <c r="D50" s="276"/>
      <c r="E50" s="276"/>
      <c r="F50" s="308">
        <f>IF('数据-取费表'!B24=0,'数据-取费表'!N16,1)</f>
        <v>0.78</v>
      </c>
      <c r="G50" s="291" t="s">
        <v>125</v>
      </c>
    </row>
    <row r="51" spans="1:7" ht="16.5" customHeight="1">
      <c r="A51" s="950" t="s">
        <v>790</v>
      </c>
      <c r="B51" s="254" t="s">
        <v>132</v>
      </c>
      <c r="C51" s="276">
        <f ca="1">ROUND(C49*F50,0)</f>
        <v>514</v>
      </c>
      <c r="D51" s="276"/>
      <c r="E51" s="276"/>
      <c r="F51" s="308"/>
      <c r="G51" s="278" t="s">
        <v>64</v>
      </c>
    </row>
    <row r="52" spans="1:7" s="252" customFormat="1" ht="16.5" thickBot="1">
      <c r="A52" s="309" t="s">
        <v>65</v>
      </c>
      <c r="B52" s="310"/>
      <c r="C52" s="311">
        <f ca="1">C31+C51</f>
        <v>32020</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8" t="s">
        <v>156</v>
      </c>
      <c r="B1" s="3268"/>
      <c r="C1" s="3268"/>
      <c r="D1" s="3268"/>
      <c r="E1" s="3268"/>
      <c r="F1" s="326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9" t="s">
        <v>169</v>
      </c>
      <c r="B2" s="3269"/>
      <c r="C2" s="3269"/>
      <c r="D2" s="3269"/>
      <c r="E2" s="3269"/>
      <c r="F2" s="326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8" t="s">
        <v>871</v>
      </c>
      <c r="B1" s="326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43102</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59" t="str">
        <f>IF(项目基本情况!B9="房地产市场价值","估价结果一览表","结果表-2")</f>
        <v>结果表-2</v>
      </c>
      <c r="B1" s="2959"/>
      <c r="C1" s="2959"/>
      <c r="D1" s="2959"/>
      <c r="E1" s="2959"/>
      <c r="F1" s="2959"/>
      <c r="G1" s="2959"/>
      <c r="H1" s="2959"/>
      <c r="I1" s="2959"/>
    </row>
    <row r="2" spans="1:9" ht="30" customHeight="1" thickTop="1">
      <c r="A2" s="2960" t="s">
        <v>1643</v>
      </c>
      <c r="B2" s="2960" t="s">
        <v>1644</v>
      </c>
      <c r="C2" s="2960" t="s">
        <v>1645</v>
      </c>
      <c r="D2" s="2960" t="str">
        <f>结果表!D116</f>
        <v>出让国有建设用地使用权价值</v>
      </c>
      <c r="E2" s="2960"/>
      <c r="F2" s="2960" t="str">
        <f>结果表!F116</f>
        <v>在建建筑物价值</v>
      </c>
      <c r="G2" s="2960"/>
      <c r="H2" s="2960" t="str">
        <f>IF(项目基本情况!B9="房地产市场价值","房地产市场价值","房地产价值")</f>
        <v>房地产价值</v>
      </c>
      <c r="I2" s="2960"/>
    </row>
    <row r="3" spans="1:9" ht="15">
      <c r="A3" s="2961"/>
      <c r="B3" s="2961"/>
      <c r="C3" s="2961"/>
      <c r="D3" s="1046" t="s">
        <v>1640</v>
      </c>
      <c r="E3" s="1046" t="s">
        <v>1646</v>
      </c>
      <c r="F3" s="1046" t="s">
        <v>1640</v>
      </c>
      <c r="G3" s="1046" t="s">
        <v>1641</v>
      </c>
      <c r="H3" s="1046" t="s">
        <v>1640</v>
      </c>
      <c r="I3" s="1046" t="s">
        <v>1641</v>
      </c>
    </row>
    <row r="4" spans="1:9" ht="30">
      <c r="A4" s="1976" t="str">
        <f>项目基本情况!S2</f>
        <v>西城区西直门外大街1号院2号楼17层19C5-19C13房地产</v>
      </c>
      <c r="B4" s="1046">
        <f>项目基本情况!C17</f>
        <v>1141.77</v>
      </c>
      <c r="C4" s="1046">
        <f>项目基本情况!C18</f>
        <v>0</v>
      </c>
      <c r="D4" s="1046" t="e">
        <f ca="1">结果表!D118</f>
        <v>#REF!</v>
      </c>
      <c r="E4" s="1046" t="e">
        <f ca="1">结果表!E118</f>
        <v>#REF!</v>
      </c>
      <c r="F4" s="1046" t="e">
        <f ca="1">结果表!F118</f>
        <v>#REF!</v>
      </c>
      <c r="G4" s="1046" t="e">
        <f ca="1">结果表!G118</f>
        <v>#REF!</v>
      </c>
      <c r="H4" s="1046">
        <f ca="1">结果表!H118</f>
        <v>483</v>
      </c>
      <c r="I4" s="1046">
        <f ca="1">结果表!I118</f>
        <v>4230</v>
      </c>
    </row>
    <row r="5" spans="1:9" ht="30" customHeight="1">
      <c r="A5" s="2961" t="s">
        <v>1642</v>
      </c>
      <c r="B5" s="2961"/>
      <c r="C5" s="2961"/>
      <c r="D5" s="2962" t="e">
        <f ca="1">结果表!D119</f>
        <v>#REF!</v>
      </c>
      <c r="E5" s="2962"/>
      <c r="F5" s="2962" t="e">
        <f ca="1">结果表!F119</f>
        <v>#REF!</v>
      </c>
      <c r="G5" s="2962"/>
      <c r="H5" s="2962" t="str">
        <f ca="1">结果表!H119</f>
        <v>肆佰捌拾叁万元整</v>
      </c>
      <c r="I5" s="2962"/>
    </row>
    <row r="6" spans="1:9" ht="15.75">
      <c r="A6" s="2963" t="str">
        <f>结果表!A120</f>
        <v>估价师知悉的法定优先受偿款</v>
      </c>
      <c r="B6" s="2963"/>
      <c r="C6" s="2963"/>
      <c r="D6" s="2963">
        <f>结果表!D120</f>
        <v>0</v>
      </c>
      <c r="E6" s="2963"/>
      <c r="F6" s="2963"/>
      <c r="G6" s="2963"/>
      <c r="H6" s="2963"/>
      <c r="I6" s="2963"/>
    </row>
    <row r="7" spans="1:9" ht="15">
      <c r="A7" s="2961" t="s">
        <v>1642</v>
      </c>
      <c r="B7" s="2961"/>
      <c r="C7" s="2961"/>
      <c r="D7" s="2964" t="str">
        <f>结果表!D121</f>
        <v>零元整</v>
      </c>
      <c r="E7" s="2965"/>
      <c r="F7" s="2965"/>
      <c r="G7" s="2965"/>
      <c r="H7" s="2965"/>
      <c r="I7" s="2966"/>
    </row>
    <row r="8" spans="1:9" ht="15.75">
      <c r="A8" s="2963" t="str">
        <f>结果表!A122</f>
        <v>房地产抵押价值</v>
      </c>
      <c r="B8" s="2963"/>
      <c r="C8" s="2963"/>
      <c r="D8" s="2963">
        <f ca="1">结果表!D122</f>
        <v>483</v>
      </c>
      <c r="E8" s="2963"/>
      <c r="F8" s="2963"/>
      <c r="G8" s="2963"/>
      <c r="H8" s="2963"/>
      <c r="I8" s="2963"/>
    </row>
    <row r="9" spans="1:9" ht="15">
      <c r="A9" s="2961" t="s">
        <v>1642</v>
      </c>
      <c r="B9" s="2961"/>
      <c r="C9" s="2961"/>
      <c r="D9" s="2962" t="str">
        <f ca="1">结果表!D123</f>
        <v>肆佰捌拾叁万元整</v>
      </c>
      <c r="E9" s="2962"/>
      <c r="F9" s="2962"/>
      <c r="G9" s="2962"/>
      <c r="H9" s="2962"/>
      <c r="I9" s="2962"/>
    </row>
    <row r="10" spans="1:9" ht="15.75">
      <c r="A10" s="2963" t="str">
        <f>结果表!A124</f>
        <v/>
      </c>
      <c r="B10" s="2963"/>
      <c r="C10" s="2963"/>
      <c r="D10" s="2963" t="str">
        <f>结果表!D124</f>
        <v>——</v>
      </c>
      <c r="E10" s="2963"/>
      <c r="F10" s="2963"/>
      <c r="G10" s="2963"/>
      <c r="H10" s="2963"/>
      <c r="I10" s="2963"/>
    </row>
    <row r="11" spans="1:9" ht="15">
      <c r="A11" s="2961" t="s">
        <v>1642</v>
      </c>
      <c r="B11" s="2961"/>
      <c r="C11" s="2961"/>
      <c r="D11" s="2962" t="e">
        <f>结果表!D125</f>
        <v>#VALUE!</v>
      </c>
      <c r="E11" s="2962"/>
      <c r="F11" s="2962"/>
      <c r="G11" s="2962"/>
      <c r="H11" s="2962"/>
      <c r="I11" s="2962"/>
    </row>
    <row r="12" spans="1:9" ht="15.75">
      <c r="A12" s="2963" t="str">
        <f>结果表!A126</f>
        <v/>
      </c>
      <c r="B12" s="2963"/>
      <c r="C12" s="2963"/>
      <c r="D12" s="2963" t="str">
        <f>结果表!D126</f>
        <v>——</v>
      </c>
      <c r="E12" s="2963"/>
      <c r="F12" s="2963"/>
      <c r="G12" s="2963"/>
      <c r="H12" s="2963"/>
      <c r="I12" s="2963"/>
    </row>
    <row r="13" spans="1:9" ht="15.75" thickBot="1">
      <c r="A13" s="2967" t="s">
        <v>1642</v>
      </c>
      <c r="B13" s="2967"/>
      <c r="C13" s="2967"/>
      <c r="D13" s="2968" t="e">
        <f>结果表!D127</f>
        <v>#VALUE!</v>
      </c>
      <c r="E13" s="2968"/>
      <c r="F13" s="2968"/>
      <c r="G13" s="2968"/>
      <c r="H13" s="2968"/>
      <c r="I13" s="2968"/>
    </row>
    <row r="14" spans="1:9" ht="15" thickTop="1">
      <c r="A14" s="2969" t="s">
        <v>1647</v>
      </c>
      <c r="B14" s="2969"/>
      <c r="C14" s="2969"/>
      <c r="D14" s="2969"/>
      <c r="E14" s="2969"/>
      <c r="F14" s="2969"/>
      <c r="G14" s="2969"/>
      <c r="H14" s="2969"/>
      <c r="I14" s="2969"/>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0" t="s">
        <v>1664</v>
      </c>
      <c r="B1" s="2970"/>
      <c r="C1" s="2970"/>
      <c r="D1" s="2970"/>
    </row>
    <row r="2" spans="1:4" ht="18">
      <c r="A2" s="2971" t="s">
        <v>1648</v>
      </c>
      <c r="B2" s="2971"/>
      <c r="C2" s="2971"/>
      <c r="D2" s="2971"/>
    </row>
    <row r="3" spans="1:4" ht="18.75">
      <c r="A3" s="1980" t="s">
        <v>1649</v>
      </c>
      <c r="B3" s="1980" t="s">
        <v>1650</v>
      </c>
      <c r="C3" s="1980" t="s">
        <v>1651</v>
      </c>
      <c r="D3" s="1980" t="s">
        <v>1652</v>
      </c>
    </row>
    <row r="4" spans="1:4" ht="56.25" customHeight="1">
      <c r="A4" s="1981" t="str">
        <f>项目基本情况!B4</f>
        <v>郑燚</v>
      </c>
      <c r="B4" s="1982">
        <f ca="1">项目基本情况!C4</f>
        <v>1120070131</v>
      </c>
      <c r="C4" s="1983"/>
      <c r="D4" s="1984" t="s">
        <v>1653</v>
      </c>
    </row>
    <row r="5" spans="1:4" ht="56.25" customHeight="1">
      <c r="A5" s="1981" t="str">
        <f>项目基本情况!D4</f>
        <v>王鹏</v>
      </c>
      <c r="B5" s="1982">
        <f ca="1">项目基本情况!E4</f>
        <v>1120050019</v>
      </c>
      <c r="C5" s="1985"/>
      <c r="D5" s="1984" t="s">
        <v>1653</v>
      </c>
    </row>
    <row r="6" spans="1:4" ht="18">
      <c r="A6" s="2971" t="s">
        <v>1654</v>
      </c>
      <c r="B6" s="2971"/>
      <c r="C6" s="2971"/>
      <c r="D6" s="2971"/>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72" t="s">
        <v>1657</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4"/>
      <c r="C12" s="2974"/>
      <c r="D12" s="2974"/>
    </row>
    <row r="13" spans="1:4" ht="30" customHeight="1">
      <c r="A13" s="29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4"/>
      <c r="C13" s="2974"/>
      <c r="D13" s="2974"/>
    </row>
    <row r="14" spans="1:4" ht="15.75" customHeight="1">
      <c r="A14" s="2973" t="str">
        <f>IF(项目基本情况!B8="抵押","4.本次评估估价师所知悉的法定优先受偿款情况说明如下：","——")</f>
        <v>4.本次评估估价师所知悉的法定优先受偿款情况说明如下：</v>
      </c>
      <c r="B14" s="2974"/>
      <c r="C14" s="2974"/>
      <c r="D14" s="2974"/>
    </row>
    <row r="15" spans="1:4" ht="42" customHeight="1">
      <c r="A15" s="2973"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2973"/>
      <c r="C15" s="2973"/>
      <c r="D15" s="2973"/>
    </row>
    <row r="16" spans="1:4" ht="30" customHeight="1">
      <c r="A16" s="2976" t="s">
        <v>1658</v>
      </c>
      <c r="B16" s="2976"/>
      <c r="C16" s="2976"/>
      <c r="D16" s="2976"/>
    </row>
    <row r="17" spans="1:4" ht="144" customHeight="1">
      <c r="A17" s="2976" t="s">
        <v>1659</v>
      </c>
      <c r="B17" s="2976"/>
      <c r="C17" s="2976"/>
      <c r="D17" s="2976"/>
    </row>
    <row r="18" spans="1:4" ht="15.75" customHeight="1">
      <c r="A18" s="2973" t="str">
        <f>IF(项目基本情况!B8="抵押",结果表!K120,"——")</f>
        <v>故，本次评估不存在估价师知悉的法定优先受偿款</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1660</v>
      </c>
      <c r="B22" s="2978"/>
      <c r="C22" s="2978"/>
      <c r="D22" s="2978"/>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75">
        <v>42551</v>
      </c>
      <c r="D31" s="29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84" t="s">
        <v>1671</v>
      </c>
      <c r="B15" s="2979" t="s">
        <v>136</v>
      </c>
      <c r="C15" s="2980"/>
    </row>
    <row r="16" spans="1:7" ht="13.5">
      <c r="A16" s="2985"/>
      <c r="B16" s="2979" t="s">
        <v>69</v>
      </c>
      <c r="C16" s="2980"/>
    </row>
    <row r="17" spans="1:3" ht="13.5">
      <c r="A17" s="2985"/>
      <c r="B17" s="2982" t="s">
        <v>1672</v>
      </c>
      <c r="C17" s="2003" t="s">
        <v>1671</v>
      </c>
    </row>
    <row r="18" spans="1:3" ht="13.5">
      <c r="A18" s="2985"/>
      <c r="B18" s="2982"/>
      <c r="C18" s="2003" t="s">
        <v>1673</v>
      </c>
    </row>
    <row r="19" spans="1:3" ht="13.5">
      <c r="A19" s="2985"/>
      <c r="B19" s="2982"/>
      <c r="C19" s="2003" t="s">
        <v>1674</v>
      </c>
    </row>
    <row r="20" spans="1:3" ht="13.5">
      <c r="A20" s="2986"/>
      <c r="B20" s="2981" t="s">
        <v>1675</v>
      </c>
      <c r="C20" s="2980"/>
    </row>
    <row r="21" spans="1:3" ht="13.5">
      <c r="A21" s="2004" t="s">
        <v>1676</v>
      </c>
      <c r="B21" s="2005"/>
      <c r="C21" s="2006"/>
    </row>
    <row r="22" spans="1:3" ht="13.5">
      <c r="A22" s="2983" t="s">
        <v>1677</v>
      </c>
      <c r="B22" s="2981" t="s">
        <v>1678</v>
      </c>
      <c r="C22" s="2980"/>
    </row>
    <row r="23" spans="1:3" ht="13.5">
      <c r="A23" s="2983"/>
      <c r="B23" s="2981" t="s">
        <v>1679</v>
      </c>
      <c r="C23" s="2980"/>
    </row>
    <row r="24" spans="1:3" ht="13.5">
      <c r="A24" s="2983"/>
      <c r="B24" s="2981" t="s">
        <v>1680</v>
      </c>
      <c r="C24" s="2980"/>
    </row>
    <row r="25" spans="1:3" ht="13.5">
      <c r="A25" s="2983"/>
      <c r="B25" s="2982" t="s">
        <v>1681</v>
      </c>
      <c r="C25" s="2003" t="s">
        <v>1682</v>
      </c>
    </row>
    <row r="26" spans="1:3" ht="13.5">
      <c r="A26" s="2983"/>
      <c r="B26" s="2982"/>
      <c r="C26" s="2003" t="s">
        <v>1683</v>
      </c>
    </row>
    <row r="27" spans="1:3" ht="13.5">
      <c r="A27" s="2983"/>
      <c r="B27" s="2982"/>
      <c r="C27" s="2003" t="s">
        <v>1684</v>
      </c>
    </row>
    <row r="28" spans="1:3" ht="13.5">
      <c r="A28" s="2983"/>
      <c r="B28" s="2982"/>
      <c r="C28" s="2003" t="s">
        <v>1685</v>
      </c>
    </row>
    <row r="29" spans="1:3" ht="13.5">
      <c r="A29" s="2983"/>
      <c r="B29" s="2982"/>
      <c r="C29" s="2003" t="s">
        <v>1686</v>
      </c>
    </row>
    <row r="30" spans="1:3" ht="13.5">
      <c r="A30" s="2983"/>
      <c r="B30" s="2982"/>
      <c r="C30" s="2003" t="s">
        <v>1687</v>
      </c>
    </row>
    <row r="31" spans="1:3" ht="13.5">
      <c r="A31" s="2983"/>
      <c r="B31" s="2982"/>
      <c r="C31" s="2003" t="s">
        <v>1688</v>
      </c>
    </row>
    <row r="32" spans="1:3" ht="13.5">
      <c r="A32" s="2983"/>
      <c r="B32" s="2982"/>
      <c r="C32" s="2003" t="s">
        <v>1689</v>
      </c>
    </row>
    <row r="33" spans="1:3" ht="13.5">
      <c r="A33" s="2983"/>
      <c r="B33" s="2982"/>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43102</v>
      </c>
      <c r="C2" s="1021" t="s">
        <v>826</v>
      </c>
      <c r="D2" s="1021"/>
    </row>
    <row r="3" spans="1:6" ht="24" customHeight="1">
      <c r="A3" s="1022" t="s">
        <v>827</v>
      </c>
      <c r="B3" s="1023" t="s">
        <v>828</v>
      </c>
      <c r="C3" s="2344" t="s">
        <v>829</v>
      </c>
      <c r="D3" s="2347" t="s">
        <v>830</v>
      </c>
      <c r="E3" s="1024" t="s">
        <v>831</v>
      </c>
      <c r="F3" s="1023" t="s">
        <v>829</v>
      </c>
    </row>
    <row r="4" spans="1:6" ht="24" customHeight="1">
      <c r="A4" s="1705" t="s">
        <v>832</v>
      </c>
      <c r="B4" s="1024">
        <f ca="1">IF(C4&lt;B2,"已过期",1119970066)</f>
        <v>1119970066</v>
      </c>
      <c r="C4" s="2345">
        <v>43849</v>
      </c>
      <c r="D4" s="2348" t="s">
        <v>832</v>
      </c>
      <c r="E4" s="1024">
        <f ca="1">IF(F4&lt;B2,"已过期",96010014)</f>
        <v>96010014</v>
      </c>
      <c r="F4" s="1032">
        <v>47118</v>
      </c>
    </row>
    <row r="5" spans="1:6" ht="24" customHeight="1">
      <c r="A5" s="1705" t="s">
        <v>833</v>
      </c>
      <c r="B5" s="1024">
        <f ca="1">IF(C5&lt;B2,"已过期",1119970074)</f>
        <v>1119970074</v>
      </c>
      <c r="C5" s="2345">
        <v>43849</v>
      </c>
      <c r="D5" s="2348" t="s">
        <v>833</v>
      </c>
      <c r="E5" s="1024">
        <f ca="1">IF(F5&lt;B2,"已过期",2002110027)</f>
        <v>2002110027</v>
      </c>
      <c r="F5" s="1032">
        <v>46752</v>
      </c>
    </row>
    <row r="6" spans="1:6" ht="24" customHeight="1">
      <c r="A6" s="1705" t="s">
        <v>834</v>
      </c>
      <c r="B6" s="1024">
        <f ca="1">IF(C6&lt;B2,"已过期",1119970111)</f>
        <v>1119970111</v>
      </c>
      <c r="C6" s="2345">
        <v>43849</v>
      </c>
      <c r="D6" s="2348" t="s">
        <v>834</v>
      </c>
      <c r="E6" s="1024">
        <f ca="1">IF(F6&lt;B2,"已过期",94010078)</f>
        <v>94010078</v>
      </c>
      <c r="F6" s="1032">
        <v>46387</v>
      </c>
    </row>
    <row r="7" spans="1:6" ht="24" customHeight="1">
      <c r="A7" s="1705" t="s">
        <v>835</v>
      </c>
      <c r="B7" s="1024">
        <f ca="1">IF(C7&lt;B2,"已过期",1120050019)</f>
        <v>1120050019</v>
      </c>
      <c r="C7" s="2345">
        <v>43359</v>
      </c>
      <c r="D7" s="2348" t="s">
        <v>835</v>
      </c>
      <c r="E7" s="1024">
        <f ca="1">IF(F7&lt;B2,"已过期",2002110030)</f>
        <v>2002110030</v>
      </c>
      <c r="F7" s="1032">
        <v>46387</v>
      </c>
    </row>
    <row r="8" spans="1:6" ht="24" customHeight="1">
      <c r="A8" s="1705" t="s">
        <v>836</v>
      </c>
      <c r="B8" s="1024">
        <f ca="1">IF(C8&lt;B2,"已过期",1120000080)</f>
        <v>1120000080</v>
      </c>
      <c r="C8" s="2345">
        <v>43849</v>
      </c>
      <c r="D8" s="2348" t="s">
        <v>836</v>
      </c>
      <c r="E8" s="1024">
        <f ca="1">IF(F8&lt;B2,"已过期",2000110082)</f>
        <v>2000110082</v>
      </c>
      <c r="F8" s="1032">
        <v>46387</v>
      </c>
    </row>
    <row r="9" spans="1:6" ht="24" customHeight="1">
      <c r="A9" s="1705" t="s">
        <v>837</v>
      </c>
      <c r="B9" s="1024">
        <f ca="1">IF(C9&lt;B2,"已过期",1419970001)</f>
        <v>1419970001</v>
      </c>
      <c r="C9" s="2345">
        <v>43867</v>
      </c>
      <c r="D9" s="2348" t="s">
        <v>837</v>
      </c>
      <c r="E9" s="1024">
        <f ca="1">IF(F9&lt;B2,"已过期",2002110125)</f>
        <v>2002110125</v>
      </c>
      <c r="F9" s="1032">
        <v>47118</v>
      </c>
    </row>
    <row r="10" spans="1:6" ht="24" customHeight="1">
      <c r="A10" s="1705" t="s">
        <v>838</v>
      </c>
      <c r="B10" s="1024">
        <f ca="1">IF(C10&lt;B2,"已过期",1120060040)</f>
        <v>1120060040</v>
      </c>
      <c r="C10" s="2345">
        <v>43483</v>
      </c>
      <c r="D10" s="2348" t="s">
        <v>838</v>
      </c>
      <c r="E10" s="1024">
        <f ca="1">IF(F10&lt;B2,"已过期",2004110096)</f>
        <v>2004110096</v>
      </c>
      <c r="F10" s="1032">
        <v>47118</v>
      </c>
    </row>
    <row r="11" spans="1:6" ht="24" customHeight="1">
      <c r="A11" s="1705" t="s">
        <v>839</v>
      </c>
      <c r="B11" s="1024">
        <f ca="1">IF(C11&lt;B2,"已过期",1120100036)</f>
        <v>1120100036</v>
      </c>
      <c r="C11" s="2345">
        <v>43622</v>
      </c>
      <c r="D11" s="2348" t="s">
        <v>839</v>
      </c>
      <c r="E11" s="1024">
        <f ca="1">IF(F11&lt;B2,"已过期",2010110070)</f>
        <v>2010110070</v>
      </c>
      <c r="F11" s="1032">
        <v>47907</v>
      </c>
    </row>
    <row r="12" spans="1:6" ht="24" customHeight="1">
      <c r="A12" s="1705"/>
      <c r="B12" s="1024"/>
      <c r="C12" s="2345"/>
      <c r="D12" s="2348"/>
      <c r="E12" s="1024"/>
      <c r="F12" s="1024"/>
    </row>
    <row r="13" spans="1:6" ht="24" customHeight="1">
      <c r="A13" s="1705" t="s">
        <v>840</v>
      </c>
      <c r="B13" s="1024">
        <f ca="1">IF(C13&lt;B2,"已过期",1120070131)</f>
        <v>1120070131</v>
      </c>
      <c r="C13" s="2345">
        <v>43814</v>
      </c>
      <c r="D13" s="2348" t="s">
        <v>840</v>
      </c>
      <c r="E13" s="1024">
        <v>2014110011</v>
      </c>
      <c r="F13" s="1032">
        <v>49302</v>
      </c>
    </row>
    <row r="14" spans="1:6" ht="24" customHeight="1">
      <c r="A14" s="1705" t="s">
        <v>841</v>
      </c>
      <c r="B14" s="1024">
        <f ca="1">IF(C14&lt;B2,"已过期",1120130020)</f>
        <v>1120130020</v>
      </c>
      <c r="C14" s="2345">
        <v>43622</v>
      </c>
      <c r="D14" s="2348"/>
      <c r="E14" s="1024"/>
      <c r="F14" s="1024"/>
    </row>
    <row r="15" spans="1:6" ht="24" customHeight="1">
      <c r="A15" s="1706" t="s">
        <v>1149</v>
      </c>
      <c r="B15" s="1024">
        <v>1120070085</v>
      </c>
      <c r="C15" s="2345">
        <v>43814</v>
      </c>
      <c r="D15" s="2349" t="s">
        <v>1149</v>
      </c>
      <c r="E15" s="1024">
        <v>2004110128</v>
      </c>
      <c r="F15" s="1025">
        <v>47118</v>
      </c>
    </row>
    <row r="16" spans="1:6" ht="24" customHeight="1">
      <c r="A16" s="1705" t="s">
        <v>842</v>
      </c>
      <c r="B16" s="1024">
        <f ca="1">IF(C16&lt;B2,"已过期",1120140022)</f>
        <v>1120140022</v>
      </c>
      <c r="C16" s="2345">
        <v>44029</v>
      </c>
      <c r="D16" s="2348" t="s">
        <v>842</v>
      </c>
      <c r="E16" s="1024">
        <f ca="1">IF(F16&lt;B2,"已过期",2008110059)</f>
        <v>2008110059</v>
      </c>
      <c r="F16" s="1032">
        <v>47177</v>
      </c>
    </row>
    <row r="17" spans="1:7" ht="24" customHeight="1">
      <c r="A17" s="1705"/>
      <c r="B17" s="1024"/>
      <c r="C17" s="2345"/>
      <c r="D17" s="2348"/>
      <c r="E17" s="1024"/>
      <c r="F17" s="1032"/>
    </row>
    <row r="18" spans="1:7" ht="24" customHeight="1">
      <c r="A18" s="1705"/>
      <c r="B18" s="1024"/>
      <c r="C18" s="2345"/>
      <c r="D18" s="2348"/>
      <c r="E18" s="1024"/>
      <c r="F18" s="1032"/>
    </row>
    <row r="19" spans="1:7" ht="24" customHeight="1">
      <c r="A19" s="1705"/>
      <c r="B19" s="1024"/>
      <c r="C19" s="2345"/>
      <c r="D19" s="2348"/>
      <c r="E19" s="1024"/>
      <c r="F19" s="1024"/>
    </row>
    <row r="20" spans="1:7" ht="24" customHeight="1">
      <c r="A20" s="1705"/>
      <c r="B20" s="1024"/>
      <c r="C20" s="2345"/>
      <c r="D20" s="2348"/>
      <c r="E20" s="1024"/>
      <c r="F20" s="1024"/>
    </row>
    <row r="21" spans="1:7" ht="24" customHeight="1">
      <c r="A21" s="1705"/>
      <c r="B21" s="1024"/>
      <c r="C21" s="2345"/>
      <c r="D21" s="2348" t="s">
        <v>843</v>
      </c>
      <c r="E21" s="1024">
        <f ca="1">IF(F21&lt;B2,"已过期",2011110090)</f>
        <v>2011110090</v>
      </c>
      <c r="F21" s="1032">
        <v>48302</v>
      </c>
    </row>
    <row r="22" spans="1:7" ht="24" customHeight="1">
      <c r="A22" s="1705" t="s">
        <v>844</v>
      </c>
      <c r="B22" s="1024">
        <f ca="1">IF(C22&lt;B2,"已过期",1120020033)</f>
        <v>1120020033</v>
      </c>
      <c r="C22" s="2345">
        <v>43304</v>
      </c>
      <c r="D22" s="2348" t="s">
        <v>844</v>
      </c>
      <c r="E22" s="1024">
        <f ca="1">IF(F22&lt;B2,"已过期",2000110137)</f>
        <v>2000110137</v>
      </c>
      <c r="F22" s="1032">
        <v>46387</v>
      </c>
    </row>
    <row r="23" spans="1:7" ht="24" customHeight="1">
      <c r="A23" s="1705" t="s">
        <v>845</v>
      </c>
      <c r="B23" s="1024">
        <f ca="1">IF(C23&lt;B2,"已过期",1120130048)</f>
        <v>1120130048</v>
      </c>
      <c r="C23" s="2345">
        <v>43686</v>
      </c>
      <c r="D23" s="2348"/>
      <c r="E23" s="1024"/>
      <c r="F23" s="1024"/>
    </row>
    <row r="24" spans="1:7" s="1026" customFormat="1" ht="24" customHeight="1">
      <c r="A24" s="1706" t="s">
        <v>1334</v>
      </c>
      <c r="B24" s="1706" t="s">
        <v>1334</v>
      </c>
      <c r="C24" s="2346" t="s">
        <v>1334</v>
      </c>
      <c r="D24" s="2349" t="s">
        <v>1334</v>
      </c>
      <c r="E24" s="1706" t="s">
        <v>1334</v>
      </c>
      <c r="F24" s="1706" t="s">
        <v>1334</v>
      </c>
    </row>
    <row r="25" spans="1:7" ht="24" customHeight="1">
      <c r="A25" s="2987" t="s">
        <v>846</v>
      </c>
      <c r="B25" s="2987"/>
      <c r="C25" s="2987"/>
      <c r="D25" s="2987"/>
      <c r="E25" s="2987"/>
      <c r="F25" s="2987"/>
      <c r="G25" s="2987"/>
    </row>
    <row r="26" spans="1:7" s="1027" customFormat="1" ht="24" customHeight="1">
      <c r="A26" s="2988" t="s">
        <v>847</v>
      </c>
      <c r="B26" s="2988"/>
      <c r="C26" s="2989"/>
      <c r="D26" s="2990" t="s">
        <v>848</v>
      </c>
      <c r="E26" s="2988"/>
      <c r="F26" s="2988"/>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比较法-办公</vt:lpstr>
      <vt:lpstr>收益法</vt:lpstr>
      <vt:lpstr>收益法 (元)</vt:lpstr>
      <vt:lpstr>收益法（汇总）</vt:lpstr>
      <vt:lpstr>酒店收入计算</vt:lpstr>
      <vt:lpstr>比较法-商业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2018-01-02T06:39:51Z</dcterms:modified>
</cp:coreProperties>
</file>