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B6" i="4"/>
  <c r="C33" i="33"/>
  <c r="I47"/>
  <c r="G47"/>
  <c r="E47"/>
  <c r="C68" i="77"/>
  <c r="C45"/>
  <c r="C23"/>
  <c r="F19" i="6"/>
  <c r="D3" i="4"/>
  <c r="AH5" i="71"/>
  <c r="AG5"/>
  <c r="AE5"/>
  <c r="AF5"/>
  <c r="AD5"/>
  <c r="Q5"/>
  <c r="Q6"/>
  <c r="AB5"/>
  <c r="P5"/>
  <c r="P6"/>
  <c r="AA5"/>
  <c r="O5"/>
  <c r="O6"/>
  <c r="Y5"/>
  <c r="Z5"/>
  <c r="N5"/>
  <c r="N6"/>
  <c r="X5"/>
  <c r="F6"/>
  <c r="F5"/>
  <c r="E6"/>
  <c r="E5"/>
  <c r="C6"/>
  <c r="C5"/>
  <c r="D5"/>
  <c r="B6"/>
  <c r="B5"/>
  <c r="F6" i="1"/>
  <c r="A6"/>
  <c r="A7"/>
  <c r="G1" i="67"/>
  <c r="F7" i="1"/>
  <c r="L48" i="67"/>
  <c r="J51"/>
  <c r="B24" i="1"/>
  <c r="J53" i="67"/>
  <c r="G1" i="15"/>
  <c r="L48"/>
  <c r="J50"/>
  <c r="B2" i="1"/>
  <c r="J51" i="15"/>
  <c r="M47"/>
  <c r="J53"/>
  <c r="AH6" i="71"/>
  <c r="AG6"/>
  <c r="AE6"/>
  <c r="AF6"/>
  <c r="AD6"/>
  <c r="F24" i="12"/>
  <c r="F7" i="69"/>
  <c r="F7" i="68"/>
  <c r="M15" i="45"/>
  <c r="L15"/>
  <c r="K15"/>
  <c r="J15"/>
  <c r="I15"/>
  <c r="H15"/>
  <c r="G15"/>
  <c r="F15"/>
  <c r="E15"/>
  <c r="D15"/>
  <c r="C15"/>
  <c r="B15"/>
  <c r="AH7" i="71"/>
  <c r="AG7"/>
  <c r="AE7"/>
  <c r="AF7"/>
  <c r="AD7"/>
  <c r="Q7"/>
  <c r="AB6"/>
  <c r="P7"/>
  <c r="AA6"/>
  <c r="O7"/>
  <c r="Y6"/>
  <c r="N7"/>
  <c r="X6"/>
  <c r="AD8"/>
  <c r="AH8"/>
  <c r="AG8"/>
  <c r="AE8"/>
  <c r="AF8"/>
  <c r="Q8"/>
  <c r="P8"/>
  <c r="O8"/>
  <c r="N8"/>
  <c r="L3"/>
  <c r="AH3"/>
  <c r="K3"/>
  <c r="AG3"/>
  <c r="J3"/>
  <c r="AE3"/>
  <c r="I3"/>
  <c r="AH9"/>
  <c r="AG9"/>
  <c r="AE9"/>
  <c r="AF9"/>
  <c r="AD9"/>
  <c r="Q9"/>
  <c r="Q10"/>
  <c r="P9"/>
  <c r="P10"/>
  <c r="AA9"/>
  <c r="O9"/>
  <c r="O10"/>
  <c r="N9"/>
  <c r="N10"/>
  <c r="X9"/>
  <c r="N11"/>
  <c r="AH10"/>
  <c r="AG10"/>
  <c r="AE10"/>
  <c r="AF10"/>
  <c r="AD10"/>
  <c r="Q11"/>
  <c r="AB9"/>
  <c r="P11"/>
  <c r="AA10"/>
  <c r="O11"/>
  <c r="Y9"/>
  <c r="Z9"/>
  <c r="M19" i="43"/>
  <c r="D13" i="71"/>
  <c r="AH11"/>
  <c r="AG11"/>
  <c r="AE11"/>
  <c r="AF11"/>
  <c r="AD11"/>
  <c r="BB13" i="3"/>
  <c r="BC13"/>
  <c r="BD13"/>
  <c r="BE13"/>
  <c r="BF13"/>
  <c r="BG13"/>
  <c r="BH13"/>
  <c r="BI13"/>
  <c r="BJ13"/>
  <c r="BK13"/>
  <c r="BA13"/>
  <c r="BM13"/>
  <c r="BN13"/>
  <c r="BO13"/>
  <c r="BP13"/>
  <c r="BQ13"/>
  <c r="BR13"/>
  <c r="BS13"/>
  <c r="BT13"/>
  <c r="BL13"/>
  <c r="AZ13"/>
  <c r="AZ5"/>
  <c r="H13"/>
  <c r="G13"/>
  <c r="G5"/>
  <c r="B3"/>
  <c r="AY6"/>
  <c r="D3" i="6"/>
  <c r="M19" i="9"/>
  <c r="C118"/>
  <c r="C14" i="74"/>
  <c r="E3" i="6"/>
  <c r="M18" i="9"/>
  <c r="B118"/>
  <c r="B14" i="74"/>
  <c r="AD12" i="71"/>
  <c r="AG12"/>
  <c r="AH12"/>
  <c r="AE12"/>
  <c r="AF12"/>
  <c r="N12"/>
  <c r="X10"/>
  <c r="Q12"/>
  <c r="AB11"/>
  <c r="P12"/>
  <c r="AA11"/>
  <c r="O12"/>
  <c r="Y10"/>
  <c r="Z10"/>
  <c r="Y11"/>
  <c r="Z11"/>
  <c r="C12"/>
  <c r="C11"/>
  <c r="Q13"/>
  <c r="F12"/>
  <c r="F11"/>
  <c r="F10"/>
  <c r="P13"/>
  <c r="E12"/>
  <c r="E11"/>
  <c r="E10"/>
  <c r="O13"/>
  <c r="N13"/>
  <c r="B12"/>
  <c r="B11"/>
  <c r="B10"/>
  <c r="B9"/>
  <c r="B8"/>
  <c r="V12"/>
  <c r="AB12"/>
  <c r="Y12"/>
  <c r="Z12"/>
  <c r="X12"/>
  <c r="AA12"/>
  <c r="A2" i="53"/>
  <c r="K59" i="67"/>
  <c r="P61"/>
  <c r="K59" i="15"/>
  <c r="P74"/>
  <c r="P61"/>
  <c r="P74" i="67"/>
  <c r="D116" i="39"/>
  <c r="E116"/>
  <c r="F116"/>
  <c r="G116"/>
  <c r="H116"/>
  <c r="I116"/>
  <c r="J116"/>
  <c r="K116"/>
  <c r="L116"/>
  <c r="M116"/>
  <c r="C116"/>
  <c r="A21" i="62"/>
  <c r="A20"/>
  <c r="A22" i="51"/>
  <c r="A21"/>
  <c r="A20"/>
  <c r="L21" i="4"/>
  <c r="A15" i="62"/>
  <c r="A14"/>
  <c r="A13"/>
  <c r="B59" i="72"/>
  <c r="A19" i="62"/>
  <c r="A12"/>
  <c r="B58" i="72"/>
  <c r="A120" i="9"/>
  <c r="H2" i="52"/>
  <c r="A1"/>
  <c r="A3" i="53"/>
  <c r="Q14" i="71"/>
  <c r="P14"/>
  <c r="O14"/>
  <c r="N14"/>
  <c r="A15" i="51"/>
  <c r="B12" i="72"/>
  <c r="C76" i="9"/>
  <c r="I107" i="40"/>
  <c r="K6" i="4"/>
  <c r="B22" i="31"/>
  <c r="N56" i="9"/>
  <c r="M56"/>
  <c r="K56"/>
  <c r="E15" i="74"/>
  <c r="F15"/>
  <c r="E16"/>
  <c r="F16"/>
  <c r="E17"/>
  <c r="F17"/>
  <c r="E18"/>
  <c r="F18"/>
  <c r="E19"/>
  <c r="F19"/>
  <c r="E20"/>
  <c r="F20"/>
  <c r="E21"/>
  <c r="F21"/>
  <c r="E22"/>
  <c r="F22"/>
  <c r="E23"/>
  <c r="F23"/>
  <c r="B3"/>
  <c r="C91" i="9"/>
  <c r="B8" i="72"/>
  <c r="O15" i="71"/>
  <c r="P15"/>
  <c r="Q15"/>
  <c r="N15"/>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H27"/>
  <c r="AG27"/>
  <c r="AE27"/>
  <c r="AF27"/>
  <c r="AD27"/>
  <c r="AD28"/>
  <c r="AE28"/>
  <c r="AF28"/>
  <c r="AG28"/>
  <c r="AH28"/>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7" i="71"/>
  <c r="F76"/>
  <c r="E76"/>
  <c r="E75"/>
  <c r="E74"/>
  <c r="C76"/>
  <c r="D76"/>
  <c r="B76"/>
  <c r="F75"/>
  <c r="F74"/>
  <c r="B75"/>
  <c r="B74"/>
  <c r="D73"/>
  <c r="F72"/>
  <c r="E72"/>
  <c r="E71"/>
  <c r="E70"/>
  <c r="C72"/>
  <c r="D72"/>
  <c r="B72"/>
  <c r="F71"/>
  <c r="F70"/>
  <c r="B71"/>
  <c r="B70"/>
  <c r="D69"/>
  <c r="Q68"/>
  <c r="P68"/>
  <c r="O68"/>
  <c r="N68"/>
  <c r="F68"/>
  <c r="V68"/>
  <c r="E68"/>
  <c r="U68"/>
  <c r="C68"/>
  <c r="T68"/>
  <c r="B68"/>
  <c r="S68"/>
  <c r="Q67"/>
  <c r="P67"/>
  <c r="O67"/>
  <c r="N67"/>
  <c r="F67"/>
  <c r="F66"/>
  <c r="B67"/>
  <c r="B66"/>
  <c r="Q66"/>
  <c r="P66"/>
  <c r="O66"/>
  <c r="N66"/>
  <c r="Q65"/>
  <c r="P65"/>
  <c r="O65"/>
  <c r="N65"/>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F56"/>
  <c r="V56"/>
  <c r="E56"/>
  <c r="P56"/>
  <c r="C56"/>
  <c r="B56"/>
  <c r="S56"/>
  <c r="F55"/>
  <c r="F54"/>
  <c r="Q54"/>
  <c r="B55"/>
  <c r="D53"/>
  <c r="Q52"/>
  <c r="P52"/>
  <c r="O52"/>
  <c r="N52"/>
  <c r="Q51"/>
  <c r="P51"/>
  <c r="O51"/>
  <c r="N51"/>
  <c r="Q50"/>
  <c r="P50"/>
  <c r="O50"/>
  <c r="N50"/>
  <c r="Q49"/>
  <c r="F50"/>
  <c r="F51"/>
  <c r="F52"/>
  <c r="V52"/>
  <c r="P49"/>
  <c r="E50"/>
  <c r="O49"/>
  <c r="C50"/>
  <c r="N49"/>
  <c r="B50"/>
  <c r="B51"/>
  <c r="B52"/>
  <c r="S52"/>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C42"/>
  <c r="Q41"/>
  <c r="F42"/>
  <c r="F43"/>
  <c r="F44"/>
  <c r="V44"/>
  <c r="P41"/>
  <c r="E42"/>
  <c r="O41"/>
  <c r="N41"/>
  <c r="B42"/>
  <c r="B43"/>
  <c r="B44"/>
  <c r="S44"/>
  <c r="D41"/>
  <c r="Q40"/>
  <c r="P40"/>
  <c r="O40"/>
  <c r="N40"/>
  <c r="Q39"/>
  <c r="P39"/>
  <c r="O39"/>
  <c r="N39"/>
  <c r="Q38"/>
  <c r="P38"/>
  <c r="O38"/>
  <c r="N38"/>
  <c r="Q37"/>
  <c r="F38"/>
  <c r="P37"/>
  <c r="E38"/>
  <c r="E39"/>
  <c r="E40"/>
  <c r="U40"/>
  <c r="O37"/>
  <c r="C38"/>
  <c r="N37"/>
  <c r="B38"/>
  <c r="B39"/>
  <c r="B40"/>
  <c r="S40"/>
  <c r="D37"/>
  <c r="T36"/>
  <c r="Q36"/>
  <c r="P36"/>
  <c r="O36"/>
  <c r="N36"/>
  <c r="D36"/>
  <c r="Q35"/>
  <c r="P35"/>
  <c r="O35"/>
  <c r="N35"/>
  <c r="Q34"/>
  <c r="P34"/>
  <c r="O34"/>
  <c r="N34"/>
  <c r="F34"/>
  <c r="F35"/>
  <c r="F36"/>
  <c r="V36"/>
  <c r="Q33"/>
  <c r="P33"/>
  <c r="E34"/>
  <c r="E35"/>
  <c r="E36"/>
  <c r="U36"/>
  <c r="O33"/>
  <c r="C34"/>
  <c r="N33"/>
  <c r="B34"/>
  <c r="B35"/>
  <c r="B36"/>
  <c r="S36"/>
  <c r="D33"/>
  <c r="Q32"/>
  <c r="P32"/>
  <c r="O32"/>
  <c r="N32"/>
  <c r="Q31"/>
  <c r="P31"/>
  <c r="O31"/>
  <c r="N31"/>
  <c r="Q30"/>
  <c r="P30"/>
  <c r="O30"/>
  <c r="N30"/>
  <c r="F30"/>
  <c r="F31"/>
  <c r="F32"/>
  <c r="V32"/>
  <c r="Q29"/>
  <c r="P29"/>
  <c r="E30"/>
  <c r="E31"/>
  <c r="E32"/>
  <c r="U32"/>
  <c r="O29"/>
  <c r="C30"/>
  <c r="N29"/>
  <c r="B30"/>
  <c r="B31"/>
  <c r="B32"/>
  <c r="S32"/>
  <c r="D29"/>
  <c r="Q28"/>
  <c r="P28"/>
  <c r="O28"/>
  <c r="N28"/>
  <c r="AB27"/>
  <c r="Q27"/>
  <c r="P27"/>
  <c r="AA27"/>
  <c r="O27"/>
  <c r="Y27"/>
  <c r="Z27"/>
  <c r="N27"/>
  <c r="X27"/>
  <c r="Q26"/>
  <c r="AB26"/>
  <c r="P26"/>
  <c r="O26"/>
  <c r="Y26"/>
  <c r="Z26"/>
  <c r="N26"/>
  <c r="F26"/>
  <c r="F27"/>
  <c r="F28"/>
  <c r="V28"/>
  <c r="Q25"/>
  <c r="P25"/>
  <c r="O25"/>
  <c r="N25"/>
  <c r="D25"/>
  <c r="Q24"/>
  <c r="AB24"/>
  <c r="P24"/>
  <c r="O24"/>
  <c r="Y24"/>
  <c r="Z24"/>
  <c r="N24"/>
  <c r="Q23"/>
  <c r="AB23"/>
  <c r="P23"/>
  <c r="O23"/>
  <c r="Y23"/>
  <c r="Z23"/>
  <c r="N23"/>
  <c r="Q22"/>
  <c r="AB22"/>
  <c r="P22"/>
  <c r="O22"/>
  <c r="Y22"/>
  <c r="Z22"/>
  <c r="N22"/>
  <c r="F22"/>
  <c r="F23"/>
  <c r="F24"/>
  <c r="V24"/>
  <c r="Q21"/>
  <c r="P21"/>
  <c r="O21"/>
  <c r="N21"/>
  <c r="D21"/>
  <c r="Q20"/>
  <c r="AB20"/>
  <c r="P20"/>
  <c r="O20"/>
  <c r="Y20"/>
  <c r="Z20"/>
  <c r="N20"/>
  <c r="Q19"/>
  <c r="AB19"/>
  <c r="P19"/>
  <c r="O19"/>
  <c r="Y19"/>
  <c r="Z19"/>
  <c r="N19"/>
  <c r="Q18"/>
  <c r="AB18"/>
  <c r="P18"/>
  <c r="O18"/>
  <c r="Y18"/>
  <c r="Z18"/>
  <c r="N18"/>
  <c r="F18"/>
  <c r="F19"/>
  <c r="F20"/>
  <c r="V20"/>
  <c r="Q17"/>
  <c r="P17"/>
  <c r="O17"/>
  <c r="N17"/>
  <c r="D17"/>
  <c r="O16"/>
  <c r="N16"/>
  <c r="B18"/>
  <c r="B19"/>
  <c r="B20"/>
  <c r="S20"/>
  <c r="X17"/>
  <c r="E18"/>
  <c r="E19"/>
  <c r="E20"/>
  <c r="U20"/>
  <c r="AA17"/>
  <c r="B22"/>
  <c r="B23"/>
  <c r="B24"/>
  <c r="S24"/>
  <c r="X21"/>
  <c r="B26"/>
  <c r="B27"/>
  <c r="B28"/>
  <c r="S28"/>
  <c r="X25"/>
  <c r="E26"/>
  <c r="E27"/>
  <c r="E28"/>
  <c r="U28"/>
  <c r="AA25"/>
  <c r="N56"/>
  <c r="E22"/>
  <c r="E23"/>
  <c r="E24"/>
  <c r="U24"/>
  <c r="AA21"/>
  <c r="C18"/>
  <c r="Y17"/>
  <c r="Z17"/>
  <c r="AB17"/>
  <c r="X18"/>
  <c r="AA18"/>
  <c r="X19"/>
  <c r="AA19"/>
  <c r="X20"/>
  <c r="AA20"/>
  <c r="C22"/>
  <c r="C23"/>
  <c r="Y21"/>
  <c r="Z21"/>
  <c r="AB21"/>
  <c r="X22"/>
  <c r="AA22"/>
  <c r="X23"/>
  <c r="AA23"/>
  <c r="X24"/>
  <c r="AA24"/>
  <c r="C26"/>
  <c r="Y25"/>
  <c r="Z25"/>
  <c r="AB25"/>
  <c r="X26"/>
  <c r="AA26"/>
  <c r="F39"/>
  <c r="F40"/>
  <c r="V40"/>
  <c r="C16"/>
  <c r="Y3"/>
  <c r="Z3"/>
  <c r="Y13"/>
  <c r="Z13"/>
  <c r="Y14"/>
  <c r="Z14"/>
  <c r="Y15"/>
  <c r="Z15"/>
  <c r="Y16"/>
  <c r="Z16"/>
  <c r="B16"/>
  <c r="B15"/>
  <c r="B14"/>
  <c r="X13"/>
  <c r="X14"/>
  <c r="X15"/>
  <c r="X16"/>
  <c r="C19"/>
  <c r="D18"/>
  <c r="D22"/>
  <c r="C27"/>
  <c r="D26"/>
  <c r="C31"/>
  <c r="D30"/>
  <c r="C35"/>
  <c r="D35"/>
  <c r="D34"/>
  <c r="C39"/>
  <c r="D38"/>
  <c r="P16"/>
  <c r="E43"/>
  <c r="E44"/>
  <c r="U44"/>
  <c r="E47"/>
  <c r="E48"/>
  <c r="U48"/>
  <c r="E51"/>
  <c r="E52"/>
  <c r="U52"/>
  <c r="Q53"/>
  <c r="U56"/>
  <c r="E55"/>
  <c r="Q16"/>
  <c r="C43"/>
  <c r="D42"/>
  <c r="C47"/>
  <c r="D46"/>
  <c r="C51"/>
  <c r="D50"/>
  <c r="N55"/>
  <c r="B54"/>
  <c r="Q55"/>
  <c r="T56"/>
  <c r="O56"/>
  <c r="D56"/>
  <c r="C55"/>
  <c r="Q56"/>
  <c r="C59"/>
  <c r="E59"/>
  <c r="E58"/>
  <c r="D60"/>
  <c r="C63"/>
  <c r="E63"/>
  <c r="E62"/>
  <c r="D64"/>
  <c r="C67"/>
  <c r="E67"/>
  <c r="E66"/>
  <c r="D68"/>
  <c r="C71"/>
  <c r="C75"/>
  <c r="T16"/>
  <c r="C15"/>
  <c r="S16"/>
  <c r="F16"/>
  <c r="F15"/>
  <c r="F14"/>
  <c r="AB13"/>
  <c r="AB14"/>
  <c r="AB15"/>
  <c r="AB16"/>
  <c r="E16"/>
  <c r="E15"/>
  <c r="E14"/>
  <c r="AA3"/>
  <c r="AA13"/>
  <c r="AA14"/>
  <c r="AA15"/>
  <c r="AA16"/>
  <c r="D16"/>
  <c r="U16"/>
  <c r="C54"/>
  <c r="O55"/>
  <c r="D55"/>
  <c r="C52"/>
  <c r="D51"/>
  <c r="D71"/>
  <c r="C70"/>
  <c r="D70"/>
  <c r="D63"/>
  <c r="C62"/>
  <c r="D62"/>
  <c r="N53"/>
  <c r="N54"/>
  <c r="D75"/>
  <c r="C74"/>
  <c r="D74"/>
  <c r="D67"/>
  <c r="C66"/>
  <c r="D66"/>
  <c r="D59"/>
  <c r="C58"/>
  <c r="D58"/>
  <c r="C48"/>
  <c r="D47"/>
  <c r="C44"/>
  <c r="D43"/>
  <c r="P55"/>
  <c r="E54"/>
  <c r="C40"/>
  <c r="D39"/>
  <c r="C32"/>
  <c r="D31"/>
  <c r="C28"/>
  <c r="D27"/>
  <c r="C24"/>
  <c r="D23"/>
  <c r="C20"/>
  <c r="D19"/>
  <c r="C14"/>
  <c r="D14"/>
  <c r="D15"/>
  <c r="V16"/>
  <c r="P53"/>
  <c r="P54"/>
  <c r="O54"/>
  <c r="D54"/>
  <c r="O53"/>
  <c r="T20"/>
  <c r="D20"/>
  <c r="T24"/>
  <c r="D24"/>
  <c r="T28"/>
  <c r="D28"/>
  <c r="T32"/>
  <c r="D32"/>
  <c r="T40"/>
  <c r="D40"/>
  <c r="T44"/>
  <c r="D44"/>
  <c r="T48"/>
  <c r="D48"/>
  <c r="T52"/>
  <c r="D52"/>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8"/>
  <c r="B8"/>
  <c r="E8"/>
  <c r="A9"/>
  <c r="A10"/>
  <c r="A11"/>
  <c r="A12"/>
  <c r="A13"/>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G7" i="1"/>
  <c r="F19" i="4"/>
  <c r="F2" i="52"/>
  <c r="B50" i="72"/>
  <c r="D2" i="52"/>
  <c r="B46" i="72"/>
  <c r="B8" i="53"/>
  <c r="B23" i="72"/>
  <c r="L4" i="9"/>
  <c r="B17" i="72"/>
  <c r="B15"/>
  <c r="A3" i="51"/>
  <c r="C8" i="11"/>
  <c r="B2" i="49"/>
  <c r="E17"/>
  <c r="B40" i="48"/>
  <c r="B3" i="72"/>
  <c r="I2" i="43"/>
  <c r="N1"/>
  <c r="F35" i="4"/>
  <c r="J55" i="39"/>
  <c r="H34" i="43"/>
  <c r="H35"/>
  <c r="H36"/>
  <c r="H37"/>
  <c r="H38"/>
  <c r="H39"/>
  <c r="H33"/>
  <c r="J20"/>
  <c r="C18"/>
  <c r="F15"/>
  <c r="E15"/>
  <c r="D15"/>
  <c r="C15"/>
  <c r="C10"/>
  <c r="C11"/>
  <c r="C9"/>
  <c r="A7"/>
  <c r="F33" i="15"/>
  <c r="F61"/>
  <c r="M19"/>
  <c r="M10" i="1"/>
  <c r="O10"/>
  <c r="B22"/>
  <c r="B23"/>
  <c r="B43"/>
  <c r="D78" i="9"/>
  <c r="BQ14" i="3"/>
  <c r="BQ15"/>
  <c r="BQ16"/>
  <c r="BQ17"/>
  <c r="BS14"/>
  <c r="BS15"/>
  <c r="BS16"/>
  <c r="BS17"/>
  <c r="BR14"/>
  <c r="BR15"/>
  <c r="BR16"/>
  <c r="BR17"/>
  <c r="BT14"/>
  <c r="BT15"/>
  <c r="BT16"/>
  <c r="BT17"/>
  <c r="BM14"/>
  <c r="BM15"/>
  <c r="BL15"/>
  <c r="BM16"/>
  <c r="BM17"/>
  <c r="BO14"/>
  <c r="BO15"/>
  <c r="BO16"/>
  <c r="BO17"/>
  <c r="BN14"/>
  <c r="BN15"/>
  <c r="BN16"/>
  <c r="BN17"/>
  <c r="BP14"/>
  <c r="BP15"/>
  <c r="BP16"/>
  <c r="BP17"/>
  <c r="E19" i="6"/>
  <c r="E20"/>
  <c r="E21"/>
  <c r="K8" i="1"/>
  <c r="M8"/>
  <c r="F23" i="15"/>
  <c r="D24"/>
  <c r="O8" i="1"/>
  <c r="P8"/>
  <c r="M13"/>
  <c r="O13"/>
  <c r="P13"/>
  <c r="E22" i="6"/>
  <c r="E23"/>
  <c r="E24"/>
  <c r="E25"/>
  <c r="E26"/>
  <c r="BB14" i="3"/>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AC13"/>
  <c r="H14"/>
  <c r="AC14"/>
  <c r="G14"/>
  <c r="H15"/>
  <c r="AC15"/>
  <c r="H16"/>
  <c r="AC16"/>
  <c r="H17"/>
  <c r="AC17"/>
  <c r="AT5"/>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AC33"/>
  <c r="AB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AZ15"/>
  <c r="BB5"/>
  <c r="BR5"/>
  <c r="G28" i="6"/>
  <c r="AZ380" i="3"/>
  <c r="AZ384"/>
  <c r="AZ388"/>
  <c r="AZ392"/>
  <c r="AZ396"/>
  <c r="AZ394"/>
  <c r="AZ499"/>
  <c r="AZ509"/>
  <c r="E8" i="6"/>
  <c r="F27"/>
  <c r="G509" i="3"/>
  <c r="BL493"/>
  <c r="AZ491"/>
  <c r="AZ376"/>
  <c r="AZ390"/>
  <c r="AZ382"/>
  <c r="AZ493"/>
  <c r="U36" i="40"/>
  <c r="F36" i="43"/>
  <c r="F81"/>
  <c r="H83"/>
  <c r="H113"/>
  <c r="F48"/>
  <c r="H52"/>
  <c r="F70"/>
  <c r="H73"/>
  <c r="M11"/>
  <c r="D17"/>
  <c r="F39"/>
  <c r="I17"/>
  <c r="F35"/>
  <c r="J17"/>
  <c r="U17" i="39"/>
  <c r="S14" i="35"/>
  <c r="U43" i="21"/>
  <c r="U35"/>
  <c r="AC35"/>
  <c r="U10"/>
  <c r="G8" i="1"/>
  <c r="G9"/>
  <c r="G10"/>
  <c r="F48" i="9"/>
  <c r="O52"/>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50"/>
  <c r="I2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F28" i="6"/>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R12"/>
  <c r="B12"/>
  <c r="E12"/>
  <c r="S10"/>
  <c r="AQ10"/>
  <c r="R10"/>
  <c r="B10"/>
  <c r="E10"/>
  <c r="D1" i="66"/>
  <c r="E10"/>
  <c r="AZ80" i="3"/>
  <c r="AZ84"/>
  <c r="AZ88"/>
  <c r="AZ107"/>
  <c r="AZ111"/>
  <c r="K12" i="1"/>
  <c r="M12"/>
  <c r="O12"/>
  <c r="P12"/>
  <c r="S13"/>
  <c r="AR13"/>
  <c r="R13"/>
  <c r="S11"/>
  <c r="AQ11"/>
  <c r="R11"/>
  <c r="S9"/>
  <c r="AR9"/>
  <c r="R9"/>
  <c r="C42"/>
  <c r="B41"/>
  <c r="F31" i="12"/>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c r="F34" i="67"/>
  <c r="F62"/>
  <c r="M20"/>
  <c r="F34" i="15"/>
  <c r="F62"/>
  <c r="E10" i="6"/>
  <c r="BA5" i="3"/>
  <c r="E27" i="6"/>
  <c r="E11"/>
  <c r="E61" i="39"/>
  <c r="BL17" i="3"/>
  <c r="AZ17"/>
  <c r="E65" i="39"/>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F31"/>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E1" i="73"/>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33"/>
  <c r="C58"/>
  <c r="D58"/>
  <c r="E58"/>
  <c r="F58"/>
  <c r="G58"/>
  <c r="H58"/>
  <c r="I58"/>
  <c r="J58"/>
  <c r="K58"/>
  <c r="L58"/>
  <c r="M58"/>
  <c r="N58"/>
  <c r="O58"/>
  <c r="C7" i="21"/>
  <c r="C58"/>
  <c r="C7" i="40"/>
  <c r="C63"/>
  <c r="M47" i="9"/>
  <c r="G19" i="43"/>
  <c r="O19"/>
  <c r="T35" i="4"/>
  <c r="A19" i="51"/>
  <c r="B14" i="72"/>
  <c r="C46" i="36"/>
  <c r="D46"/>
  <c r="C59" i="34"/>
  <c r="D59"/>
  <c r="E59"/>
  <c r="F59"/>
  <c r="C52" i="37"/>
  <c r="D52"/>
  <c r="E52"/>
  <c r="F52"/>
  <c r="A4" i="51"/>
  <c r="B6" i="72"/>
  <c r="C48" i="35"/>
  <c r="D48"/>
  <c r="E48"/>
  <c r="C4" i="12"/>
  <c r="H66" i="43"/>
  <c r="H65"/>
  <c r="H64"/>
  <c r="H63"/>
  <c r="H55"/>
  <c r="H56"/>
  <c r="H72"/>
  <c r="L20" i="6"/>
  <c r="E62" i="39"/>
  <c r="E56"/>
  <c r="E51" i="40"/>
  <c r="B6" i="1"/>
  <c r="E6"/>
  <c r="S8"/>
  <c r="K11"/>
  <c r="M11"/>
  <c r="O11"/>
  <c r="P11"/>
  <c r="AP6"/>
  <c r="B9"/>
  <c r="E9"/>
  <c r="K7"/>
  <c r="G1" i="69"/>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7" i="49"/>
  <c r="E4" i="4"/>
  <c r="B13" i="49"/>
  <c r="C4" i="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P7" i="1"/>
  <c r="O16"/>
  <c r="F1" i="15"/>
  <c r="Q52"/>
  <c r="S20" i="6"/>
  <c r="I19"/>
  <c r="M27"/>
  <c r="M16" i="1"/>
  <c r="N16"/>
  <c r="F27" i="11"/>
  <c r="F1" i="67"/>
  <c r="Q52"/>
  <c r="AC11" i="37"/>
  <c r="W11"/>
  <c r="W11" i="34"/>
  <c r="AC11"/>
  <c r="H20" i="6"/>
  <c r="B2" i="74"/>
  <c r="E6" i="3"/>
  <c r="D10" i="68"/>
  <c r="C10"/>
  <c r="D10" i="11"/>
  <c r="C10"/>
  <c r="D20" i="12"/>
  <c r="C20"/>
  <c r="D19" i="6"/>
  <c r="D25"/>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F34" i="68"/>
  <c r="H19" i="6"/>
  <c r="S19"/>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C38"/>
  <c r="D10"/>
  <c r="C10"/>
  <c r="S16" i="1"/>
  <c r="AE7"/>
  <c r="T16"/>
  <c r="AE8"/>
  <c r="AE6"/>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AB7"/>
  <c r="T48"/>
  <c r="G48"/>
  <c r="H112" i="9"/>
  <c r="D21" i="53"/>
  <c r="B39" i="72"/>
  <c r="H111" i="9"/>
  <c r="D126"/>
  <c r="D19" i="53"/>
  <c r="D59" i="9"/>
  <c r="M55"/>
  <c r="B38" i="72"/>
  <c r="D20" i="53"/>
  <c r="B40" i="72"/>
  <c r="I14" i="74"/>
  <c r="B8"/>
  <c r="D127" i="9"/>
  <c r="D13" i="52"/>
  <c r="D12"/>
  <c r="D8" i="74"/>
  <c r="C8"/>
  <c r="AD3" i="71"/>
  <c r="B4" i="62"/>
  <c r="B71" i="72"/>
  <c r="F43" i="67"/>
  <c r="D2" i="34"/>
  <c r="M23" i="15"/>
  <c r="F26" i="67"/>
  <c r="F8"/>
  <c r="D2" i="33"/>
  <c r="F6" i="15"/>
  <c r="F8"/>
  <c r="F7"/>
  <c r="F9"/>
  <c r="C6"/>
  <c r="F4" i="73"/>
  <c r="I1"/>
  <c r="B39" i="1"/>
  <c r="F11" i="15"/>
  <c r="C10"/>
  <c r="C5"/>
  <c r="C32"/>
  <c r="C33"/>
  <c r="F35"/>
  <c r="C34"/>
  <c r="C31"/>
  <c r="C14"/>
  <c r="C15"/>
  <c r="F16"/>
  <c r="C16"/>
  <c r="F43"/>
  <c r="C17"/>
  <c r="C18"/>
  <c r="C19"/>
  <c r="C20"/>
  <c r="D5" i="73"/>
  <c r="G1"/>
  <c r="B40" i="1"/>
  <c r="F24" i="15"/>
  <c r="C23"/>
  <c r="F26"/>
  <c r="C26"/>
  <c r="C24"/>
  <c r="C27"/>
  <c r="C29"/>
  <c r="F36"/>
  <c r="C36"/>
  <c r="F13"/>
  <c r="C13"/>
  <c r="F37"/>
  <c r="C37"/>
  <c r="F38"/>
  <c r="C38"/>
  <c r="C30"/>
  <c r="C39"/>
  <c r="F42"/>
  <c r="F40"/>
  <c r="F41"/>
  <c r="C40"/>
  <c r="M6"/>
  <c r="M8"/>
  <c r="M7"/>
  <c r="M9"/>
  <c r="J6"/>
  <c r="M11"/>
  <c r="J10"/>
  <c r="J5"/>
  <c r="J18"/>
  <c r="J19"/>
  <c r="M21"/>
  <c r="J20"/>
  <c r="J17"/>
  <c r="J14"/>
  <c r="M22"/>
  <c r="J22"/>
  <c r="J15"/>
  <c r="J13"/>
  <c r="J23"/>
  <c r="M24"/>
  <c r="J24"/>
  <c r="J16"/>
  <c r="J25"/>
  <c r="M28"/>
  <c r="M26"/>
  <c r="M27"/>
  <c r="J26"/>
  <c r="J29"/>
  <c r="J60"/>
  <c r="L46"/>
  <c r="B2"/>
  <c r="D19" i="9"/>
  <c r="M9" i="67"/>
  <c r="E13" i="76"/>
  <c r="J15" i="67"/>
  <c r="B10" i="76"/>
  <c r="M27" i="67"/>
  <c r="AO8" i="1"/>
  <c r="F41" i="67"/>
  <c r="B8" i="76"/>
  <c r="F3" i="73"/>
  <c r="M29" i="67"/>
  <c r="E7" i="76"/>
  <c r="AO7" i="1"/>
  <c r="R48" i="33"/>
  <c r="V48"/>
  <c r="R49"/>
  <c r="C49"/>
  <c r="B2"/>
  <c r="C19" i="9"/>
  <c r="F20" i="31"/>
  <c r="D2" i="35"/>
  <c r="L47" i="67"/>
  <c r="F5" i="73"/>
  <c r="D2" i="21"/>
  <c r="J1" i="73"/>
  <c r="D3"/>
  <c r="K1"/>
  <c r="J57" i="15"/>
  <c r="J55"/>
  <c r="J58"/>
  <c r="J59"/>
  <c r="C76"/>
  <c r="L51"/>
  <c r="L57"/>
  <c r="L47"/>
  <c r="L58"/>
  <c r="L59"/>
  <c r="L60"/>
  <c r="AO6" i="1"/>
  <c r="B12" i="76"/>
  <c r="E11"/>
  <c r="M29" i="15"/>
  <c r="F7" i="73"/>
  <c r="E10" i="76"/>
  <c r="F16" i="67"/>
  <c r="F36"/>
  <c r="M22"/>
  <c r="M6"/>
  <c r="AO10" i="1"/>
  <c r="AO12"/>
  <c r="F6" i="73"/>
  <c r="F6" i="67"/>
  <c r="M26"/>
  <c r="D34" i="9"/>
  <c r="M8" i="67"/>
  <c r="B3" i="15"/>
  <c r="D20" i="9"/>
  <c r="M23" i="67"/>
  <c r="D2" i="37"/>
  <c r="E9" i="76"/>
  <c r="F40" i="67"/>
  <c r="B3" i="33"/>
  <c r="C20" i="9"/>
  <c r="F42" i="67"/>
  <c r="E2" i="69"/>
  <c r="M21" i="67"/>
  <c r="E2" i="68"/>
  <c r="F35" i="67"/>
  <c r="E12" i="76"/>
  <c r="F9" i="67"/>
  <c r="F7"/>
  <c r="AO9" i="1"/>
  <c r="D2" i="36"/>
  <c r="M24" i="67"/>
  <c r="B11" i="76"/>
  <c r="F13" i="67"/>
  <c r="AO13" i="1"/>
  <c r="F37" i="67"/>
  <c r="C76"/>
  <c r="B13" i="76"/>
  <c r="B9"/>
  <c r="F38" i="67"/>
  <c r="M28"/>
  <c r="AO11" i="1"/>
  <c r="B7" i="76"/>
  <c r="D35" i="9"/>
  <c r="E8" i="76"/>
  <c r="C65" i="40"/>
  <c r="D63"/>
  <c r="G16" i="1"/>
  <c r="AA7" i="33"/>
  <c r="C36" i="11"/>
  <c r="C33"/>
  <c r="C39"/>
  <c r="C46"/>
  <c r="C45"/>
  <c r="C36" i="68"/>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AC7"/>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24" i="12"/>
  <c r="C48" i="68"/>
  <c r="C10" i="71"/>
  <c r="D10"/>
  <c r="D11"/>
  <c r="D12"/>
  <c r="U12"/>
  <c r="S12"/>
  <c r="T12"/>
  <c r="AB10"/>
  <c r="X8"/>
  <c r="X7"/>
  <c r="AA8"/>
  <c r="AA7"/>
  <c r="X11"/>
  <c r="Z6"/>
  <c r="Y7"/>
  <c r="Z7"/>
  <c r="AB8"/>
  <c r="AB7"/>
  <c r="B7"/>
  <c r="S8"/>
  <c r="C29" i="12"/>
  <c r="D28"/>
  <c r="C94" i="9"/>
  <c r="C92"/>
  <c r="C20" i="11"/>
  <c r="C28"/>
  <c r="C27"/>
  <c r="F9" i="71"/>
  <c r="F8"/>
  <c r="F7"/>
  <c r="Y8"/>
  <c r="Z8"/>
  <c r="E7" i="49"/>
  <c r="B15"/>
  <c r="AB3" i="71"/>
  <c r="X3"/>
  <c r="C9"/>
  <c r="E9"/>
  <c r="E8"/>
  <c r="E10" i="49"/>
  <c r="B6"/>
  <c r="E14"/>
  <c r="D19" i="69"/>
  <c r="C19"/>
  <c r="AF3" i="71"/>
  <c r="P24" i="43"/>
  <c r="B66" i="40"/>
  <c r="P21" i="43"/>
  <c r="C12" i="12"/>
  <c r="P22" i="43"/>
  <c r="C14" i="12"/>
  <c r="C23"/>
  <c r="C29" i="69"/>
  <c r="D27"/>
  <c r="R16" i="1"/>
  <c r="B4" i="49"/>
  <c r="B9"/>
  <c r="E22"/>
  <c r="E16"/>
  <c r="E11"/>
  <c r="D19" i="68"/>
  <c r="C19"/>
  <c r="C20"/>
  <c r="C28"/>
  <c r="C27"/>
  <c r="B10" i="49"/>
  <c r="E6"/>
  <c r="E8"/>
  <c r="E5"/>
  <c r="B8"/>
  <c r="B5"/>
  <c r="E21"/>
  <c r="E4"/>
  <c r="B11"/>
  <c r="B14"/>
  <c r="B16"/>
  <c r="E13"/>
  <c r="E15"/>
  <c r="E9"/>
  <c r="B22"/>
  <c r="C18" i="12"/>
  <c r="C8" i="69"/>
  <c r="C5"/>
  <c r="C47" i="68"/>
  <c r="D45"/>
  <c r="C35" i="69"/>
  <c r="C34" i="68"/>
  <c r="G20" i="9"/>
  <c r="C103"/>
  <c r="D102"/>
  <c r="D21"/>
  <c r="B6" i="70"/>
  <c r="F69" i="15"/>
  <c r="F63"/>
  <c r="C62"/>
  <c r="F70" i="67"/>
  <c r="F64"/>
  <c r="Q50" i="15"/>
  <c r="I54"/>
  <c r="L56"/>
  <c r="F71" i="67"/>
  <c r="F66" i="15"/>
  <c r="F50"/>
  <c r="B10" i="70"/>
  <c r="F68" i="67"/>
  <c r="F66"/>
  <c r="L59"/>
  <c r="M59"/>
  <c r="N59"/>
  <c r="L58"/>
  <c r="F68" i="15"/>
  <c r="N59"/>
  <c r="M59"/>
  <c r="F65"/>
  <c r="Q71" i="67"/>
  <c r="B13" i="70"/>
  <c r="B8"/>
  <c r="C34" i="67"/>
  <c r="F63"/>
  <c r="C62"/>
  <c r="C21" i="9"/>
  <c r="D22"/>
  <c r="C102"/>
  <c r="G19"/>
  <c r="D103"/>
  <c r="B20" i="31"/>
  <c r="B7" i="70"/>
  <c r="F69" i="67"/>
  <c r="J20"/>
  <c r="F71" i="15"/>
  <c r="F65" i="67"/>
  <c r="Q71" i="15"/>
  <c r="M7" i="67"/>
  <c r="J6"/>
  <c r="J18"/>
  <c r="F50"/>
  <c r="F51"/>
  <c r="C6"/>
  <c r="C32"/>
  <c r="B11" i="70"/>
  <c r="F51" i="15"/>
  <c r="F64"/>
  <c r="I54" i="67"/>
  <c r="J57"/>
  <c r="J55"/>
  <c r="J58"/>
  <c r="Q50"/>
  <c r="L56"/>
  <c r="C27"/>
  <c r="B12" i="70"/>
  <c r="B9"/>
  <c r="D7" i="73"/>
  <c r="C17" i="67"/>
  <c r="D6" i="73"/>
  <c r="C14" i="67"/>
  <c r="F31" i="15"/>
  <c r="M17" i="67"/>
  <c r="F59"/>
  <c r="F59" i="15"/>
  <c r="M17"/>
  <c r="F31" i="67"/>
  <c r="C16"/>
  <c r="D4" i="73"/>
  <c r="E20" i="43"/>
  <c r="M28"/>
  <c r="G20"/>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E7" i="71"/>
  <c r="V8"/>
  <c r="C20" i="69"/>
  <c r="C28"/>
  <c r="C27"/>
  <c r="D37"/>
  <c r="C37"/>
  <c r="C33"/>
  <c r="C39"/>
  <c r="C46"/>
  <c r="C45"/>
  <c r="C16" i="12"/>
  <c r="C21"/>
  <c r="C22"/>
  <c r="C30"/>
  <c r="C28"/>
  <c r="P23" i="43"/>
  <c r="B71" i="39"/>
  <c r="C8" i="71"/>
  <c r="D9"/>
  <c r="P25" i="43"/>
  <c r="D37" i="68"/>
  <c r="C37"/>
  <c r="C49" i="67"/>
  <c r="C49" i="15"/>
  <c r="C38" i="68"/>
  <c r="C35"/>
  <c r="C18" i="67"/>
  <c r="C15"/>
  <c r="F11"/>
  <c r="M11"/>
  <c r="J10"/>
  <c r="J5"/>
  <c r="C32" i="9"/>
  <c r="G21"/>
  <c r="Q73" i="67"/>
  <c r="Q60"/>
  <c r="B2" i="70"/>
  <c r="B3"/>
  <c r="P28" i="43"/>
  <c r="Q60" i="15"/>
  <c r="Q73"/>
  <c r="Q74"/>
  <c r="Q61"/>
  <c r="Q61" i="67"/>
  <c r="Q74"/>
  <c r="N28" i="43"/>
  <c r="O28"/>
  <c r="F22" i="68"/>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C7" i="71"/>
  <c r="D6"/>
  <c r="T8"/>
  <c r="D7"/>
  <c r="D8"/>
  <c r="C19" i="67"/>
  <c r="C20"/>
  <c r="C26"/>
  <c r="C33" i="68"/>
  <c r="C39"/>
  <c r="J24" i="67"/>
  <c r="J26"/>
  <c r="J29"/>
  <c r="C35" i="9"/>
  <c r="F118"/>
  <c r="H118"/>
  <c r="C53" i="67"/>
  <c r="C48"/>
  <c r="C10"/>
  <c r="C5"/>
  <c r="C53" i="15"/>
  <c r="C48"/>
  <c r="F24" i="67"/>
  <c r="C24"/>
  <c r="F25" i="12"/>
  <c r="C26"/>
  <c r="D25"/>
  <c r="F22" i="11"/>
  <c r="C44"/>
  <c r="D41"/>
  <c r="F22" i="69"/>
  <c r="C23"/>
  <c r="F65" i="40"/>
  <c r="G63"/>
  <c r="AC7" i="34"/>
  <c r="V49"/>
  <c r="I49"/>
  <c r="W7"/>
  <c r="E43" i="35"/>
  <c r="F43"/>
  <c r="E42"/>
  <c r="F42"/>
  <c r="C36" i="36"/>
  <c r="C37"/>
  <c r="B2"/>
  <c r="B3"/>
  <c r="C42" i="37"/>
  <c r="C43"/>
  <c r="B2"/>
  <c r="B3"/>
  <c r="G52" i="21"/>
  <c r="H52"/>
  <c r="G53"/>
  <c r="H53"/>
  <c r="I43" i="35"/>
  <c r="J43"/>
  <c r="H7" i="34"/>
  <c r="E48" i="21"/>
  <c r="R49"/>
  <c r="C38" i="35"/>
  <c r="C39"/>
  <c r="B2"/>
  <c r="B3"/>
  <c r="S7" i="34"/>
  <c r="AA7"/>
  <c r="R49"/>
  <c r="I52" i="21"/>
  <c r="J52"/>
  <c r="I53"/>
  <c r="J53"/>
  <c r="E40" i="36"/>
  <c r="F40"/>
  <c r="E41"/>
  <c r="F41"/>
  <c r="I41"/>
  <c r="J41"/>
  <c r="E47" i="37"/>
  <c r="F47"/>
  <c r="E46"/>
  <c r="F46"/>
  <c r="G68" i="39"/>
  <c r="F70"/>
  <c r="M20" i="43"/>
  <c r="C19"/>
  <c r="T14"/>
  <c r="V14"/>
  <c r="U8" i="71"/>
  <c r="C34" i="9"/>
  <c r="D118"/>
  <c r="D119"/>
  <c r="D5" i="52"/>
  <c r="B49" i="72"/>
  <c r="C46" i="68"/>
  <c r="C45"/>
  <c r="C23"/>
  <c r="C26"/>
  <c r="D22"/>
  <c r="C24"/>
  <c r="C44"/>
  <c r="D41"/>
  <c r="C25"/>
  <c r="C42"/>
  <c r="C66" i="15"/>
  <c r="C60"/>
  <c r="C60" i="67"/>
  <c r="C66"/>
  <c r="I118" i="9"/>
  <c r="D14" i="74"/>
  <c r="H101" i="9"/>
  <c r="H119"/>
  <c r="H5" i="52"/>
  <c r="H4"/>
  <c r="C104" i="9"/>
  <c r="C38" i="67"/>
  <c r="F4" i="52"/>
  <c r="B51" i="72"/>
  <c r="F119" i="9"/>
  <c r="F5" i="52"/>
  <c r="B53" i="72"/>
  <c r="G118" i="9"/>
  <c r="G4" i="52"/>
  <c r="B52" i="72"/>
  <c r="C43" i="68"/>
  <c r="C25" i="69"/>
  <c r="C43"/>
  <c r="C26" i="11"/>
  <c r="D22"/>
  <c r="C23" i="67"/>
  <c r="C29"/>
  <c r="J19"/>
  <c r="C42" i="11"/>
  <c r="C24" i="69"/>
  <c r="C44"/>
  <c r="D41"/>
  <c r="C25" i="11"/>
  <c r="C23"/>
  <c r="D4" i="52"/>
  <c r="B47" i="72"/>
  <c r="C27" i="12"/>
  <c r="C25"/>
  <c r="C32"/>
  <c r="B2"/>
  <c r="B3"/>
  <c r="C42" i="69"/>
  <c r="C26"/>
  <c r="D22"/>
  <c r="C24" i="11"/>
  <c r="C43"/>
  <c r="G65" i="40"/>
  <c r="H63"/>
  <c r="H68" i="39"/>
  <c r="G70"/>
  <c r="R50" i="34"/>
  <c r="E49"/>
  <c r="U7"/>
  <c r="AB7"/>
  <c r="T49"/>
  <c r="G49"/>
  <c r="E52" i="21"/>
  <c r="F52"/>
  <c r="E53"/>
  <c r="F53"/>
  <c r="I53" i="34"/>
  <c r="J53"/>
  <c r="I54"/>
  <c r="J54"/>
  <c r="C48" i="21"/>
  <c r="C49"/>
  <c r="B2"/>
  <c r="B3"/>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C22" i="69"/>
  <c r="D45" i="9"/>
  <c r="H107"/>
  <c r="M48"/>
  <c r="D5" i="53"/>
  <c r="I4" i="52"/>
  <c r="C105" i="9"/>
  <c r="E118"/>
  <c r="E4" i="52"/>
  <c r="B48" i="72"/>
  <c r="H102" i="9"/>
  <c r="D7" i="53"/>
  <c r="B21" i="72"/>
  <c r="C41" i="68"/>
  <c r="C49"/>
  <c r="C51"/>
  <c r="E14" i="74"/>
  <c r="B5"/>
  <c r="F14"/>
  <c r="C57" i="67"/>
  <c r="J17"/>
  <c r="C36"/>
  <c r="C22" i="68"/>
  <c r="C31"/>
  <c r="C31" i="69"/>
  <c r="J14" i="67"/>
  <c r="J13"/>
  <c r="J23"/>
  <c r="C33"/>
  <c r="C31"/>
  <c r="C41" i="11"/>
  <c r="C49"/>
  <c r="C51"/>
  <c r="C41" i="69"/>
  <c r="C49"/>
  <c r="C51"/>
  <c r="J59" i="67"/>
  <c r="J60"/>
  <c r="L46"/>
  <c r="Q49"/>
  <c r="C13"/>
  <c r="C37"/>
  <c r="Q49" i="15"/>
  <c r="C22" i="11"/>
  <c r="C31"/>
  <c r="C57" i="15"/>
  <c r="C64"/>
  <c r="Q70"/>
  <c r="G35" i="43"/>
  <c r="I35"/>
  <c r="E29"/>
  <c r="C26"/>
  <c r="B2"/>
  <c r="H65" i="40"/>
  <c r="I63"/>
  <c r="C50" i="34"/>
  <c r="B2"/>
  <c r="B3"/>
  <c r="C49"/>
  <c r="I68" i="39"/>
  <c r="H70"/>
  <c r="G53" i="34"/>
  <c r="H53"/>
  <c r="G54"/>
  <c r="H54"/>
  <c r="E54"/>
  <c r="F54"/>
  <c r="E53"/>
  <c r="F53"/>
  <c r="G39" i="43"/>
  <c r="I39"/>
  <c r="G34"/>
  <c r="I34"/>
  <c r="C27"/>
  <c r="C52" i="68"/>
  <c r="B2"/>
  <c r="B3"/>
  <c r="D5" i="74"/>
  <c r="C5"/>
  <c r="Q48" i="67"/>
  <c r="J22"/>
  <c r="B20" i="72"/>
  <c r="D6" i="53"/>
  <c r="B22" i="72"/>
  <c r="H108" i="9"/>
  <c r="D15" i="53"/>
  <c r="B31" i="72"/>
  <c r="D13" i="53"/>
  <c r="D122" i="9"/>
  <c r="C61" i="67"/>
  <c r="C59"/>
  <c r="C64"/>
  <c r="D55" i="9"/>
  <c r="M53"/>
  <c r="C64"/>
  <c r="C63"/>
  <c r="C67"/>
  <c r="C68"/>
  <c r="D54"/>
  <c r="C93"/>
  <c r="C86"/>
  <c r="D52"/>
  <c r="C78"/>
  <c r="C73"/>
  <c r="C85"/>
  <c r="D53"/>
  <c r="C72"/>
  <c r="B6" i="76"/>
  <c r="E6"/>
  <c r="C52" i="69"/>
  <c r="B2"/>
  <c r="B3"/>
  <c r="C30" i="67"/>
  <c r="C39"/>
  <c r="Q69"/>
  <c r="C61" i="15"/>
  <c r="C59"/>
  <c r="C52" i="11"/>
  <c r="B2"/>
  <c r="B3"/>
  <c r="Q48" i="15"/>
  <c r="Q70" i="67"/>
  <c r="C57" i="68"/>
  <c r="C56"/>
  <c r="C75" i="67"/>
  <c r="C56"/>
  <c r="C65"/>
  <c r="C58"/>
  <c r="C67"/>
  <c r="C68"/>
  <c r="C75" i="15"/>
  <c r="C56"/>
  <c r="C65"/>
  <c r="I65" i="40"/>
  <c r="J63"/>
  <c r="J68" i="39"/>
  <c r="I70"/>
  <c r="E2" i="76"/>
  <c r="B2"/>
  <c r="B3" i="43"/>
  <c r="J16" i="67"/>
  <c r="J25"/>
  <c r="C40"/>
  <c r="C79" i="9"/>
  <c r="C95"/>
  <c r="D14" i="53"/>
  <c r="B32" i="72"/>
  <c r="B30"/>
  <c r="G14" i="74"/>
  <c r="B6"/>
  <c r="D123" i="9"/>
  <c r="D9" i="52"/>
  <c r="D8"/>
  <c r="L51" i="67"/>
  <c r="C80"/>
  <c r="C79"/>
  <c r="C57" i="69"/>
  <c r="C56"/>
  <c r="C58" i="15"/>
  <c r="C67"/>
  <c r="C68"/>
  <c r="C71"/>
  <c r="C56" i="11"/>
  <c r="C57"/>
  <c r="Q68" i="67"/>
  <c r="Q69" i="15"/>
  <c r="Q68"/>
  <c r="C80"/>
  <c r="C79"/>
  <c r="K63" i="40"/>
  <c r="J65"/>
  <c r="K68" i="39"/>
  <c r="J70"/>
  <c r="B3" i="76"/>
  <c r="Q67" i="67"/>
  <c r="L57"/>
  <c r="L60"/>
  <c r="Q67" i="15"/>
  <c r="C6" i="74"/>
  <c r="D6"/>
  <c r="C71" i="67"/>
  <c r="C45"/>
  <c r="C46"/>
  <c r="C80" i="9"/>
  <c r="C81"/>
  <c r="E80"/>
  <c r="E81"/>
  <c r="Q56" i="67"/>
  <c r="Q47"/>
  <c r="Q53"/>
  <c r="Q65"/>
  <c r="C43"/>
  <c r="D2"/>
  <c r="C83"/>
  <c r="C82"/>
  <c r="C96" i="9"/>
  <c r="E96"/>
  <c r="E97"/>
  <c r="C97"/>
  <c r="D58"/>
  <c r="D56"/>
  <c r="M54"/>
  <c r="N57"/>
  <c r="Q65" i="15"/>
  <c r="Q56"/>
  <c r="C46"/>
  <c r="C83"/>
  <c r="C82"/>
  <c r="C43"/>
  <c r="Q47"/>
  <c r="Q53"/>
  <c r="L63" i="40"/>
  <c r="K65"/>
  <c r="L68" i="39"/>
  <c r="K70"/>
  <c r="N58" i="9"/>
  <c r="N59"/>
  <c r="P57"/>
  <c r="Q57" i="15"/>
  <c r="Q66"/>
  <c r="Q75"/>
  <c r="Q66" i="67"/>
  <c r="Q75"/>
  <c r="Q57"/>
  <c r="Q62"/>
  <c r="Q62" i="15"/>
  <c r="B2" i="67"/>
  <c r="B3"/>
  <c r="M63" i="40"/>
  <c r="L65"/>
  <c r="M68" i="39"/>
  <c r="L70"/>
  <c r="N60" i="9"/>
  <c r="N61"/>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<sst xmlns="http://schemas.openxmlformats.org/spreadsheetml/2006/main" count="7329" uniqueCount="3092">
  <si>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</si>
  <si>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</si>
  <si>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</si>
  <si>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</si>
  <si>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</si>
  <si>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</si>
  <si>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</si>
  <si>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</si>
  <si>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</si>
  <si>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</si>
  <si>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</si>
  <si>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</si>
  <si>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</si>
  <si>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</si>
  <si>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</si>
  <si>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</si>
  <si>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</si>
  <si>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</si>
  <si>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</si>
  <si>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</si>
  <si>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</si>
  <si>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</si>
  <si>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</si>
  <si>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</si>
  <si>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</si>
  <si>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</si>
  <si>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</si>
  <si>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</si>
  <si>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</si>
  <si>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</si>
  <si>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</si>
  <si>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</si>
  <si>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</si>
  <si>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</si>
  <si>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</si>
  <si>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</si>
  <si>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</si>
  <si>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</si>
  <si>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</si>
  <si>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</si>
  <si>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</si>
  <si>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</si>
  <si>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</si>
  <si>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</si>
  <si>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</si>
  <si>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</si>
  <si>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</si>
  <si>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</si>
  <si>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</si>
  <si>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</si>
  <si>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</si>
  <si>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</si>
  <si>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</si>
  <si>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</si>
  <si>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</si>
  <si>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</si>
  <si>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</si>
  <si>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</si>
  <si>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</si>
  <si>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</si>
  <si>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</si>
  <si>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</si>
  <si>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</si>
  <si>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</si>
  <si>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</si>
  <si>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</si>
  <si>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</si>
  <si>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</si>
  <si>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</si>
  <si>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</si>
  <si>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</si>
  <si>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</si>
  <si>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</si>
  <si>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</si>
  <si>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</si>
  <si>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</si>
  <si>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</si>
  <si>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</si>
  <si>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</si>
  <si>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</si>
  <si>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</si>
  <si>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</si>
  <si>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</si>
  <si>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</si>
  <si>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</si>
  <si>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</si>
  <si>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</si>
  <si>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</si>
  <si>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</si>
  <si>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</si>
  <si>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</si>
  <si>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</si>
  <si>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</si>
  <si>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</si>
  <si>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</si>
  <si>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</si>
  <si>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</si>
  <si>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</si>
  <si>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</si>
  <si>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</si>
  <si>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</si>
  <si>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</si>
  <si>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</si>
  <si>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</si>
  <si>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</si>
  <si>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</si>
  <si>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</si>
  <si>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</si>
  <si>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</si>
  <si>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</si>
  <si>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</si>
  <si>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</si>
  <si>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</si>
  <si>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</si>
  <si>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</si>
  <si>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</si>
  <si>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</si>
  <si>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</si>
  <si>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</si>
  <si>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</si>
  <si>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</si>
  <si>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</si>
  <si>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</si>
  <si>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</si>
  <si>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</si>
  <si>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</si>
  <si>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</si>
  <si>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</si>
  <si>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</si>
  <si>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</si>
  <si>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</si>
  <si>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</si>
  <si>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</si>
  <si>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</si>
  <si>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</si>
  <si>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</si>
  <si>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</si>
  <si>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</si>
  <si>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</si>
  <si>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</si>
  <si>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</si>
  <si>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</si>
  <si>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</si>
  <si>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</si>
  <si>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</si>
  <si>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</si>
  <si>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</si>
  <si>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</si>
  <si>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</si>
  <si>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</si>
  <si>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</si>
  <si>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</si>
  <si>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</si>
  <si>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</si>
  <si>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</si>
  <si>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</si>
  <si>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</si>
  <si>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</si>
  <si>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</si>
  <si>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</si>
  <si>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</si>
  <si>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</si>
  <si>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</si>
  <si>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</si>
  <si>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</si>
  <si>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</si>
  <si>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</si>
  <si>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</si>
  <si>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</si>
  <si>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</si>
  <si>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</si>
  <si>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</si>
  <si>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</si>
  <si>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</si>
  <si>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</si>
  <si>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</si>
  <si>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</si>
  <si>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</si>
  <si>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</si>
  <si>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</si>
  <si>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</si>
  <si>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</si>
  <si>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</si>
  <si>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</si>
  <si>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</si>
  <si>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</si>
  <si>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</si>
  <si>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</si>
  <si>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</si>
  <si>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</si>
  <si>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</si>
  <si>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</si>
  <si>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</si>
  <si>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</si>
  <si>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</si>
  <si>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</si>
  <si>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</si>
  <si>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</si>
  <si>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</si>
  <si>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</si>
  <si>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</si>
  <si>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</si>
  <si>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</si>
  <si>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</si>
  <si>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</si>
  <si>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</si>
  <si>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</si>
  <si>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</si>
  <si>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</si>
  <si>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</si>
  <si>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</si>
  <si>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</si>
  <si>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</si>
  <si>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</si>
  <si>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</si>
  <si>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</si>
  <si>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</si>
  <si>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</si>
  <si>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</si>
  <si>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</si>
  <si>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</si>
  <si>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</si>
  <si>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</si>
  <si>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</si>
  <si>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</si>
  <si>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</si>
  <si>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</si>
  <si>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</si>
  <si>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</si>
  <si>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</si>
  <si>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</si>
  <si>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</si>
  <si>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</si>
  <si>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</si>
  <si>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</si>
  <si>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</si>
  <si>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</si>
  <si>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</si>
  <si>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</si>
  <si>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</si>
  <si>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</si>
  <si>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</si>
  <si>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</si>
  <si>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</si>
  <si>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</si>
  <si>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</si>
  <si>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</si>
  <si>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</si>
  <si>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</si>
  <si>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</si>
  <si>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</si>
  <si>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</si>
  <si>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</si>
  <si>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</si>
  <si>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</si>
  <si>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</si>
  <si>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</si>
  <si>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</si>
  <si>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</si>
  <si>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</si>
  <si>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</si>
  <si>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</si>
  <si>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</si>
  <si>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</si>
  <si>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</si>
  <si>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</si>
  <si>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</si>
  <si>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</si>
  <si>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</si>
  <si>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</si>
  <si>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</si>
  <si>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</si>
  <si>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</si>
  <si>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</si>
  <si>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</si>
  <si>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</si>
  <si>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</si>
  <si>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</si>
  <si>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</si>
  <si>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</si>
  <si>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</si>
  <si>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</si>
  <si>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</si>
  <si>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</si>
  <si>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</si>
  <si>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</si>
  <si>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</si>
  <si>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</si>
  <si>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</si>
  <si>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</si>
  <si>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</si>
  <si>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</si>
  <si>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</si>
  <si>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</si>
  <si>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</si>
  <si>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</si>
  <si>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</si>
  <si>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</si>
  <si>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</si>
  <si>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</si>
  <si>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</si>
  <si>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</si>
  <si>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</si>
  <si>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</si>
  <si>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</si>
  <si>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</si>
  <si>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</si>
  <si>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</si>
  <si>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</si>
  <si>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</si>
  <si>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</si>
  <si>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</si>
  <si>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</si>
  <si>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</si>
  <si>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</si>
  <si>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</si>
  <si>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</si>
  <si>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</si>
  <si>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</si>
  <si>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</si>
  <si>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</si>
  <si>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</si>
  <si>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</si>
  <si>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</si>
  <si>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</si>
  <si>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</si>
  <si>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</si>
  <si>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</si>
  <si>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</si>
  <si>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</si>
  <si>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</si>
  <si>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</si>
  <si>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</si>
  <si>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</si>
  <si>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</si>
  <si>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</si>
  <si>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</si>
  <si>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</si>
  <si>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</si>
  <si>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</si>
  <si>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</si>
  <si>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</si>
  <si>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</si>
  <si>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</si>
  <si>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</si>
  <si>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</si>
  <si>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</si>
  <si>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</si>
  <si>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</si>
  <si>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</si>
  <si>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</si>
  <si>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</si>
  <si>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</si>
  <si>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</si>
  <si>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</si>
  <si>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</si>
  <si>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</si>
  <si>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</si>
  <si>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</si>
  <si>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</si>
  <si>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</si>
  <si>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</si>
  <si>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</si>
  <si>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</si>
  <si>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</si>
  <si>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</si>
  <si>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</si>
  <si>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</si>
  <si>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</si>
  <si>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</si>
  <si>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</si>
  <si>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</si>
  <si>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</si>
  <si>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</si>
  <si>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</si>
  <si>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</si>
  <si>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</si>
  <si>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</si>
  <si>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</si>
  <si>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</si>
  <si>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</si>
  <si>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</si>
  <si>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</si>
  <si>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</si>
  <si>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</si>
  <si>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</si>
  <si>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</si>
  <si>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</si>
  <si>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</si>
  <si>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</si>
  <si>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</si>
  <si>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</si>
  <si>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</si>
  <si>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</si>
  <si>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</si>
  <si>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</si>
  <si>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</si>
  <si>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</si>
  <si>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</si>
  <si>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</si>
  <si>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</si>
  <si>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</si>
  <si>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</si>
  <si>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</si>
  <si>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</si>
  <si>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</si>
  <si>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</si>
  <si>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</si>
  <si>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</si>
  <si>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</si>
  <si>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</si>
  <si>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</si>
  <si>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</si>
  <si>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</si>
  <si>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</si>
  <si>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</si>
  <si>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</si>
  <si>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</si>
  <si>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</si>
  <si>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</si>
  <si>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</si>
  <si>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</si>
  <si>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</si>
  <si>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</si>
  <si>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</si>
  <si>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</si>
  <si>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</si>
  <si>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</si>
  <si>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</si>
  <si>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</si>
  <si>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</si>
  <si>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</si>
  <si>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</si>
  <si>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</si>
  <si>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</si>
  <si>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</si>
  <si>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</si>
  <si>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</si>
  <si>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</si>
  <si>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</si>
  <si>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</si>
  <si>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</si>
  <si>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</si>
  <si>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</si>
  <si>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</si>
  <si>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</si>
  <si>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</si>
  <si>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</si>
  <si>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</si>
  <si>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</si>
  <si>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</si>
  <si>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</si>
  <si>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</si>
  <si>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</si>
  <si>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</si>
  <si>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</si>
  <si>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</si>
  <si>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</si>
  <si>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</si>
  <si>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</si>
  <si>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</si>
  <si>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</si>
  <si>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</si>
  <si>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</si>
  <si>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</si>
  <si>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</si>
  <si>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</si>
  <si>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</si>
  <si>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</si>
  <si>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</si>
  <si>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</si>
  <si>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</si>
  <si>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</si>
  <si>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</si>
  <si>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</si>
  <si>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</si>
  <si>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</si>
  <si>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</si>
  <si>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</si>
  <si>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</si>
  <si>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</si>
  <si>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</si>
  <si>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</si>
  <si>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</si>
  <si>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</si>
  <si>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</si>
  <si>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</si>
  <si>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</si>
  <si>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</si>
  <si>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</si>
  <si>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</si>
  <si>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</si>
  <si>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</si>
  <si>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</si>
  <si>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</si>
  <si>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</si>
  <si>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</si>
  <si>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</si>
  <si>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</si>
  <si>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</si>
  <si>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</si>
  <si>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</si>
  <si>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</si>
  <si>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</si>
  <si>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</si>
  <si>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</si>
  <si>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</si>
  <si>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</si>
  <si>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</si>
  <si>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</si>
  <si>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</si>
  <si>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</si>
  <si>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</si>
  <si>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</si>
  <si>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</si>
  <si>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</si>
  <si>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</si>
  <si>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</si>
  <si>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</si>
  <si>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</si>
  <si>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</si>
  <si>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</si>
  <si>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</si>
  <si>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</si>
  <si>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</si>
  <si>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</si>
  <si>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</si>
  <si>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</si>
  <si>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</si>
  <si>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</si>
  <si>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</si>
  <si>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</si>
  <si>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</si>
  <si>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</si>
  <si>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</si>
  <si>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</si>
  <si>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</si>
  <si>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</si>
  <si>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</si>
  <si>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</si>
  <si>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</si>
  <si>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</si>
  <si>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</si>
  <si>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</si>
  <si>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</si>
  <si>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</si>
  <si>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</si>
  <si>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</si>
  <si>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</si>
  <si>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</si>
  <si>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</si>
  <si>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</si>
  <si>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</si>
  <si>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</si>
  <si>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</si>
  <si>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</si>
  <si>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</si>
  <si>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</si>
  <si>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</si>
  <si>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</si>
  <si>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</si>
  <si>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</si>
  <si>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</si>
  <si>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</si>
  <si>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</si>
  <si>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</si>
  <si>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</si>
  <si>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</si>
  <si>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</si>
  <si>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</si>
  <si>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</si>
  <si>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</si>
  <si>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</si>
  <si>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</si>
  <si>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</si>
  <si>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</si>
  <si>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</si>
  <si>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</si>
  <si>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</si>
  <si>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</si>
  <si>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</si>
  <si>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</si>
  <si>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</si>
  <si>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</si>
  <si>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</si>
  <si>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</si>
  <si>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</si>
  <si>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</si>
  <si>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</si>
  <si>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</si>
  <si>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</si>
  <si>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</si>
  <si>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</si>
  <si>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</si>
  <si>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</si>
  <si>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</si>
  <si>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</si>
  <si>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</si>
  <si>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</si>
  <si>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</si>
  <si>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</si>
  <si>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</si>
  <si>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</si>
  <si>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</si>
  <si>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</si>
  <si>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</si>
  <si>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</si>
  <si>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</si>
  <si>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</si>
  <si>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</si>
  <si>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</si>
  <si>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</si>
  <si>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</si>
  <si>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</si>
  <si>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</si>
  <si>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</si>
  <si>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</si>
  <si>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</si>
  <si>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</si>
  <si>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</si>
  <si>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</si>
  <si>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</si>
  <si>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</si>
  <si>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</si>
  <si>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</si>
  <si>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</si>
  <si>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</si>
  <si>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</si>
  <si>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</si>
  <si>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</si>
  <si>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</si>
  <si>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</si>
  <si>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</si>
  <si>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</si>
  <si>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</si>
  <si>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</si>
  <si>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</si>
  <si>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</si>
  <si>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</si>
  <si>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</si>
  <si>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</si>
  <si>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</si>
  <si>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</si>
  <si>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</si>
  <si>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</si>
  <si>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</si>
  <si>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</si>
  <si>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</si>
  <si>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</si>
  <si>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</si>
  <si>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</si>
  <si>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</si>
  <si>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</si>
  <si>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</si>
  <si>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</si>
  <si>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</si>
  <si>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</si>
  <si>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</si>
  <si>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</si>
  <si>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</si>
  <si>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</si>
  <si>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</si>
  <si>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</si>
  <si>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</si>
  <si>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</si>
  <si>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</si>
  <si>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</si>
  <si>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</si>
  <si>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</si>
  <si>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</si>
  <si>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</si>
  <si>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</si>
  <si>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</si>
  <si>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</si>
  <si>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</si>
  <si>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</si>
  <si>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</si>
  <si>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</si>
  <si>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</si>
  <si>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</si>
  <si>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</si>
  <si>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</si>
  <si>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</si>
  <si>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</si>
  <si>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</si>
  <si>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</si>
  <si>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</si>
  <si>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</si>
  <si>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</si>
  <si>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</si>
  <si>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</si>
  <si>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</si>
  <si>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</si>
  <si>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</si>
  <si>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</si>
  <si>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</si>
  <si>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</si>
  <si>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</si>
  <si>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</si>
  <si>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</si>
  <si>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</si>
  <si>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</si>
  <si>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</si>
  <si>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</si>
  <si>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</si>
  <si>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</si>
  <si>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</si>
  <si>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</si>
  <si>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</si>
  <si>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</si>
  <si>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</si>
  <si>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</si>
  <si>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</si>
  <si>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</si>
  <si>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</si>
  <si>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</si>
  <si>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</si>
  <si>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</si>
  <si>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</si>
  <si>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</si>
  <si>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</si>
  <si>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</si>
  <si>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</si>
  <si>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</si>
  <si>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</si>
  <si>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</si>
  <si>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</si>
  <si>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</si>
  <si>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</si>
  <si>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</si>
  <si>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</si>
  <si>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</si>
  <si>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</si>
  <si>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</si>
  <si>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</si>
  <si>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</si>
  <si>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</si>
  <si>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</si>
  <si>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</si>
  <si>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</si>
  <si>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</si>
  <si>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</si>
  <si>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</si>
  <si>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</si>
  <si>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</si>
  <si>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</si>
  <si>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</si>
  <si>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</si>
  <si>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</si>
  <si>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</si>
  <si>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</si>
  <si>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</si>
  <si>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</si>
  <si>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</si>
  <si>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</si>
  <si>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</si>
  <si>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</si>
  <si>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</si>
  <si>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</si>
  <si>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</si>
  <si>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</si>
  <si>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</si>
  <si>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</si>
  <si>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</si>
  <si>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</si>
  <si>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</si>
  <si>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</si>
  <si>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</si>
  <si>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</si>
  <si>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</si>
  <si>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</si>
  <si>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</si>
  <si>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</si>
  <si>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</si>
  <si>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</si>
  <si>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</si>
  <si>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</si>
  <si>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</si>
  <si>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</si>
  <si>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</si>
  <si>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</si>
  <si>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</si>
  <si>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</si>
  <si>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</si>
  <si>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</si>
  <si>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</si>
  <si>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</si>
  <si>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</si>
  <si>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</si>
  <si>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</si>
  <si>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</si>
  <si>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</si>
  <si>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</si>
  <si>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</si>
  <si>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</si>
  <si>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</si>
  <si>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</si>
  <si>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</si>
  <si>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</si>
  <si>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</si>
  <si>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</si>
  <si>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</si>
  <si>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</si>
  <si>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</si>
  <si>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</si>
  <si>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</si>
  <si>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</si>
  <si>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</si>
  <si>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</si>
  <si>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</si>
  <si>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</si>
  <si>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</si>
  <si>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</si>
  <si>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</si>
  <si>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</si>
  <si>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</si>
  <si>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</si>
  <si>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</si>
  <si>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</si>
  <si>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</si>
  <si>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</si>
  <si>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</si>
  <si>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</si>
  <si>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</si>
  <si>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</si>
  <si>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</si>
  <si>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</si>
  <si>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</si>
  <si>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</si>
  <si>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</si>
  <si>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</si>
  <si>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</si>
  <si>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</si>
  <si>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</si>
  <si>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</si>
  <si>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</si>
  <si>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</si>
  <si>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</si>
  <si>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</si>
  <si>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</si>
  <si>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</si>
  <si>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</si>
  <si>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</si>
  <si>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</si>
  <si>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</si>
  <si>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</si>
  <si>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</si>
  <si>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</si>
  <si>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</si>
  <si>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</si>
  <si>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</si>
  <si>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</si>
  <si>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</si>
  <si>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</si>
  <si>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</si>
  <si>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</si>
  <si>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</si>
  <si>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</si>
  <si>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</si>
  <si>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</si>
  <si>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</si>
  <si>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</si>
  <si>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</si>
  <si>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</si>
  <si>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</si>
  <si>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</si>
  <si>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</si>
  <si>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</si>
  <si>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</si>
  <si>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</si>
  <si>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</si>
  <si>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</si>
  <si>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</si>
  <si>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</si>
  <si>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</si>
  <si>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</si>
  <si>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</si>
  <si>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</si>
  <si>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</si>
  <si>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</si>
  <si>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</si>
  <si>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</si>
  <si>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</si>
  <si>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</si>
  <si>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</si>
  <si>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</si>
  <si>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</si>
  <si>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</si>
  <si>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</si>
  <si>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</si>
  <si>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</si>
  <si>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</si>
  <si>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</si>
  <si>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</si>
  <si>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</si>
  <si>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</si>
  <si>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</si>
  <si>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</si>
  <si>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</si>
  <si>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</si>
  <si>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</si>
  <si>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</si>
  <si>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</si>
  <si>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</si>
  <si>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</si>
  <si>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</si>
  <si>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</si>
  <si>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</si>
  <si>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</si>
  <si>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</si>
  <si>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</si>
  <si>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</si>
  <si>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</si>
  <si>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</si>
  <si>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</si>
  <si>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</si>
  <si>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</si>
  <si>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</si>
  <si>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</si>
  <si>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</si>
  <si>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</si>
  <si>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</si>
  <si>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</si>
  <si>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</si>
  <si>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</si>
  <si>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</si>
  <si>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</si>
  <si>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</si>
  <si>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</si>
  <si>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</si>
  <si>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</si>
  <si>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</si>
  <si>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</si>
  <si>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</si>
  <si>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</si>
  <si>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</si>
  <si>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</si>
  <si>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</si>
  <si>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</si>
  <si>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</si>
  <si>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</si>
  <si>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</si>
  <si>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</si>
  <si>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</si>
  <si>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</si>
  <si>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</si>
  <si>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</si>
  <si>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</si>
  <si>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</si>
  <si>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</si>
  <si>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</si>
  <si>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</si>
  <si>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</si>
  <si>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</si>
  <si>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</si>
  <si>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</si>
  <si>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</si>
  <si>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</si>
  <si>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</si>
  <si>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</si>
  <si>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</si>
  <si>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</si>
  <si>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</si>
  <si>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</si>
  <si>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</si>
  <si>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</si>
  <si>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</si>
  <si>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</si>
  <si>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</si>
  <si>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</si>
  <si>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</si>
  <si>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</si>
  <si>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</si>
  <si>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</si>
  <si>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</si>
  <si>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</si>
  <si>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</si>
  <si>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</si>
  <si>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</si>
  <si>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</si>
  <si>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</si>
  <si>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</si>
  <si>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</si>
  <si>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</si>
  <si>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</si>
  <si>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</si>
  <si>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</si>
  <si>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</si>
  <si>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</si>
  <si>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</si>
  <si>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</si>
  <si>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</si>
  <si>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</si>
  <si>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</si>
  <si>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</si>
  <si>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</si>
  <si>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</si>
  <si>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</si>
  <si>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</si>
  <si>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</si>
  <si>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</si>
  <si>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</si>
  <si>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</si>
  <si>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</si>
  <si>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</si>
  <si>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</si>
  <si>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</si>
  <si>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</si>
  <si>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</si>
  <si>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</si>
  <si>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</si>
  <si>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</si>
  <si>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</si>
  <si>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</si>
  <si>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</si>
  <si>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</si>
  <si>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</si>
  <si>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</si>
  <si>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</si>
  <si>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</si>
  <si>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</si>
  <si>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</si>
  <si>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</si>
  <si>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</si>
  <si>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</si>
  <si>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</si>
  <si>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</si>
  <si>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</si>
  <si>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</si>
  <si>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</si>
  <si>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</si>
  <si>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</si>
  <si>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</si>
  <si>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</si>
  <si>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</si>
  <si>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</si>
  <si>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</si>
  <si>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</si>
  <si>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</si>
  <si>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</si>
  <si>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</si>
  <si>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</si>
  <si>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</si>
  <si>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</si>
  <si>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</si>
  <si>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</si>
  <si>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</si>
  <si>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</si>
  <si>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</si>
  <si>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</si>
  <si>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</si>
  <si>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</si>
  <si>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</si>
  <si>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</si>
  <si>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</si>
  <si>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</si>
  <si>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</si>
  <si>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</si>
  <si>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</si>
  <si>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</si>
  <si>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</si>
  <si>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</si>
  <si>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</si>
  <si>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</si>
  <si>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</si>
  <si>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</si>
  <si>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</si>
  <si>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</si>
  <si>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</si>
  <si>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</si>
  <si>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</si>
  <si>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</si>
  <si>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</si>
  <si>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</si>
  <si>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</si>
  <si>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</si>
  <si>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</si>
  <si>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</si>
  <si>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</si>
  <si>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</si>
  <si>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</si>
  <si>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</si>
  <si>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</si>
  <si>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</si>
  <si>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</si>
  <si>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</si>
  <si>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</si>
  <si>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</si>
  <si>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</si>
  <si>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</si>
  <si>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</si>
  <si>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</si>
  <si>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</si>
  <si>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</si>
  <si>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</si>
  <si>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</si>
  <si>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</si>
  <si>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</si>
  <si>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</si>
  <si>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</si>
  <si>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</si>
  <si>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</si>
  <si>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</si>
  <si>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</si>
  <si>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</si>
  <si>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</si>
  <si>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</si>
  <si>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</si>
  <si>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</si>
  <si>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</si>
  <si>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</si>
  <si>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</si>
  <si>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</si>
  <si>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</si>
  <si>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</si>
  <si>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</si>
  <si>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</si>
  <si>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</si>
  <si>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</si>
  <si>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</si>
  <si>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</si>
  <si>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</si>
  <si>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</si>
  <si>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</si>
  <si>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</si>
  <si>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</si>
  <si>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</si>
  <si>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</si>
  <si>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</si>
  <si>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</si>
  <si>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</si>
  <si>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</si>
  <si>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</si>
  <si>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</si>
  <si>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</si>
  <si>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</si>
  <si>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</si>
  <si>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</si>
  <si>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</si>
  <si>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</si>
  <si>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</si>
  <si>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</si>
  <si>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</si>
  <si>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</si>
  <si>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</si>
  <si>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</si>
  <si>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</si>
  <si>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</si>
  <si>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</si>
  <si>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</si>
  <si>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</si>
  <si>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</si>
  <si>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</si>
  <si>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</si>
  <si>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</si>
  <si>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</si>
  <si>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</si>
  <si>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</si>
  <si>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</si>
  <si>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</si>
  <si>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</si>
  <si>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</si>
  <si>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</si>
  <si>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</si>
  <si>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</si>
  <si>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</si>
  <si>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</si>
  <si>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</si>
  <si>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</si>
  <si>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</si>
  <si>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</si>
  <si>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</si>
  <si>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</si>
  <si>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</si>
  <si>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</si>
  <si>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</si>
  <si>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</si>
  <si>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</si>
  <si>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</si>
  <si>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</si>
  <si>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</si>
  <si>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</si>
  <si>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</si>
  <si>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</si>
  <si>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</si>
  <si>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</si>
  <si>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</si>
  <si>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</si>
  <si>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</si>
  <si>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</si>
  <si>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</si>
  <si>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</si>
  <si>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</si>
  <si>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</si>
  <si>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</si>
  <si>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</si>
  <si>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</si>
  <si>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</si>
  <si>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</si>
  <si>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</si>
  <si>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</si>
  <si>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</si>
  <si>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</si>
  <si>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</si>
  <si>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</si>
  <si>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</si>
  <si>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</si>
  <si>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</si>
  <si>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</si>
  <si>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</si>
  <si>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</si>
  <si>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</si>
  <si>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</si>
  <si>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</si>
  <si>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</si>
  <si>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</si>
  <si>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</si>
  <si>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</si>
  <si>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</si>
  <si>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</si>
  <si>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</si>
  <si>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</si>
  <si>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</si>
  <si>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</si>
  <si>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</si>
  <si>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</si>
  <si>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</si>
  <si>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</si>
  <si>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</si>
  <si>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</si>
  <si>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</si>
  <si>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</si>
  <si>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</si>
  <si>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</si>
  <si>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</si>
  <si>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</si>
  <si>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</si>
  <si>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</si>
  <si>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</si>
  <si>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</si>
  <si>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</si>
  <si>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</si>
  <si>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</si>
  <si>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</si>
  <si>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</si>
  <si>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</si>
  <si>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</si>
  <si>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</si>
  <si>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</si>
  <si>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</si>
  <si>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</si>
  <si>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</si>
  <si>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</si>
  <si>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</si>
  <si>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</si>
  <si>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</si>
  <si>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</si>
  <si>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</si>
  <si>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</si>
  <si>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</si>
  <si>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</si>
  <si>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</si>
  <si>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</si>
  <si>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</si>
  <si>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</si>
  <si>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</si>
  <si>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</si>
  <si>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</si>
  <si>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</si>
  <si>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</si>
  <si>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</si>
  <si>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</si>
  <si>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</si>
  <si>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</si>
  <si>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</si>
  <si>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</si>
  <si>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</si>
  <si>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</si>
  <si>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</si>
  <si>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</si>
  <si>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</si>
  <si>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</si>
  <si>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</si>
  <si>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</si>
  <si>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</si>
  <si>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</si>
  <si>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</si>
  <si>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</si>
  <si>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</si>
  <si>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</si>
  <si>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</si>
  <si>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</si>
  <si>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</si>
  <si>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</si>
  <si>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</si>
  <si>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</si>
  <si>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</si>
  <si>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</si>
  <si>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</si>
  <si>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</si>
  <si>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</si>
  <si>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</si>
  <si>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</si>
  <si>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</si>
  <si>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</si>
  <si>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</si>
  <si>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</si>
  <si>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</si>
  <si>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</si>
  <si>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</si>
  <si>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</si>
  <si>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</si>
  <si>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</si>
  <si>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</si>
  <si>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</si>
  <si>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</si>
  <si>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</si>
  <si>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</si>
  <si>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</si>
  <si>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</si>
  <si>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</si>
  <si>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</si>
  <si>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</si>
  <si>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</si>
  <si>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</si>
  <si>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</si>
  <si>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</si>
  <si>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</si>
  <si>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</si>
  <si>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</si>
  <si>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</si>
  <si>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</si>
  <si>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</si>
  <si>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</si>
  <si>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</si>
  <si>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</si>
  <si>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</si>
  <si>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</si>
  <si>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</si>
  <si>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</si>
  <si>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</si>
  <si>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</si>
  <si>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</si>
  <si>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</si>
  <si>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</si>
  <si>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</si>
  <si>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</si>
  <si>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</si>
  <si>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</si>
  <si>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</si>
  <si>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</si>
  <si>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</si>
  <si>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</si>
  <si>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</si>
  <si>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</si>
  <si>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</si>
  <si>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</si>
  <si>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</si>
  <si>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</si>
  <si>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</si>
  <si>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</si>
  <si>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</si>
  <si>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</si>
  <si>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</si>
  <si>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</si>
  <si>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</si>
  <si>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</si>
  <si>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</si>
  <si>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</si>
  <si>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</si>
  <si>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</si>
  <si>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</si>
  <si>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</si>
  <si>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</si>
  <si>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</si>
  <si>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</si>
  <si>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</si>
  <si>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</si>
  <si>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</si>
  <si>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</si>
  <si>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</si>
  <si>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</si>
  <si>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</si>
  <si>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</si>
  <si>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</si>
  <si>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</si>
  <si>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</si>
  <si>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</si>
  <si>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</si>
  <si>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</si>
  <si>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</si>
  <si>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</si>
  <si>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</si>
  <si>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</si>
  <si>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</si>
  <si>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</si>
  <si>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</si>
  <si>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</si>
  <si>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</si>
  <si>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</si>
  <si>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</si>
  <si>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</si>
  <si>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</si>
  <si>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</si>
  <si>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</si>
  <si>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</si>
  <si>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</si>
  <si>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</si>
  <si>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</si>
  <si>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</si>
  <si>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</si>
  <si>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</si>
  <si>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</si>
  <si>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</si>
  <si>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</si>
  <si>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</si>
  <si>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</si>
  <si>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</si>
  <si>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</si>
  <si>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</si>
  <si>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</si>
  <si>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</si>
  <si>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</si>
  <si>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</si>
  <si>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</si>
  <si>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</si>
  <si>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</si>
  <si>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</si>
  <si>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</si>
  <si>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</si>
  <si>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</si>
  <si>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</si>
  <si>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</si>
  <si>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</si>
  <si>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</si>
  <si>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</si>
  <si>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</si>
  <si>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</si>
  <si>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</si>
  <si>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</si>
  <si>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</si>
  <si>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</si>
  <si>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</si>
  <si>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</si>
  <si>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</si>
  <si>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</si>
  <si>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</si>
  <si>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</si>
  <si>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</si>
  <si>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</si>
  <si>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</si>
  <si>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</si>
  <si>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</si>
  <si>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</si>
  <si>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</si>
  <si>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</si>
  <si>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</si>
  <si>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</si>
  <si>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</si>
  <si>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</si>
  <si>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</si>
  <si>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</si>
  <si>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</si>
  <si>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</si>
  <si>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</si>
  <si>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</si>
  <si>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</si>
  <si>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</si>
  <si>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</si>
  <si>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</si>
  <si>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</si>
  <si>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</si>
  <si>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</si>
  <si>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</si>
  <si>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</si>
  <si>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</si>
  <si>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</si>
  <si>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</si>
  <si>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</si>
  <si>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</si>
  <si>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</si>
  <si>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</si>
  <si>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</si>
  <si>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</si>
  <si>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</si>
  <si>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</si>
  <si>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</si>
  <si>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</si>
  <si>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</si>
  <si>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</si>
  <si>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</si>
  <si>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</si>
  <si>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</si>
  <si>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</si>
  <si>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</si>
  <si>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</si>
  <si>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</si>
  <si>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</si>
  <si>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</si>
  <si>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</si>
  <si>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</si>
  <si>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</si>
  <si>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</si>
  <si>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</si>
  <si>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</si>
  <si>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</si>
  <si>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</si>
  <si>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</si>
  <si>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</si>
  <si>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</si>
  <si>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</si>
  <si>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</si>
  <si>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</si>
  <si>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</si>
  <si>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</si>
  <si>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</si>
  <si>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</si>
  <si>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</si>
  <si>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</si>
  <si>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</si>
  <si>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</si>
  <si>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</si>
  <si>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</si>
  <si>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</si>
  <si>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</si>
  <si>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</si>
  <si>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</si>
  <si>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</si>
  <si>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</si>
  <si>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</si>
  <si>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</si>
  <si>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</si>
  <si>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</si>
  <si>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</si>
  <si>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</si>
  <si>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</si>
  <si>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</si>
  <si>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</si>
  <si>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</si>
  <si>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</si>
  <si>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</si>
  <si>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</si>
  <si>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</si>
  <si>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</si>
  <si>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</si>
  <si>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</si>
  <si>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</si>
  <si>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</si>
  <si>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</si>
  <si>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</si>
  <si>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</si>
  <si>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</si>
  <si>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</si>
  <si>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</si>
  <si>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</si>
  <si>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</si>
  <si>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</si>
  <si>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</si>
  <si>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</si>
  <si>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</si>
  <si>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</si>
  <si>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</si>
  <si>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</si>
  <si>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</si>
  <si>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</si>
  <si>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</si>
  <si>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</si>
  <si>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</si>
  <si>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</si>
  <si>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</si>
  <si>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</si>
  <si>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</si>
  <si>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</si>
  <si>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</si>
  <si>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</si>
  <si>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</si>
  <si>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</si>
  <si>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</si>
  <si>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</si>
  <si>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</si>
  <si>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</si>
  <si>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</si>
  <si>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</si>
  <si>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</si>
  <si>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</si>
  <si>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</si>
  <si>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</si>
  <si>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</si>
  <si>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</si>
  <si>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</si>
  <si>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</si>
  <si>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</si>
  <si>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</si>
  <si>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</si>
  <si>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</si>
  <si>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</si>
  <si>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</si>
  <si>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</si>
  <si>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</si>
  <si>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</si>
  <si>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</si>
  <si>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</si>
  <si>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</si>
  <si>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</si>
  <si>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</si>
  <si>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</si>
  <si>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</si>
  <si>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</si>
  <si>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</si>
  <si>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</si>
  <si>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</si>
  <si>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</si>
  <si>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</si>
  <si>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</si>
  <si>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</si>
  <si>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</si>
  <si>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</si>
  <si>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</si>
  <si>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</si>
  <si>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</si>
  <si>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</si>
  <si>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</si>
  <si>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</si>
  <si>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</si>
  <si>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</si>
  <si>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</si>
  <si>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</si>
  <si>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</si>
  <si>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</si>
  <si>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</si>
  <si>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</si>
  <si>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</si>
  <si>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</si>
  <si>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</si>
  <si>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</si>
  <si>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</si>
  <si>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</si>
  <si>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</si>
  <si>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</si>
  <si>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</si>
  <si>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</si>
  <si>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</si>
  <si>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</si>
  <si>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</si>
  <si>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</si>
  <si>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</si>
  <si>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</si>
  <si>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</si>
  <si>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</si>
  <si>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</si>
  <si>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</si>
  <si>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</si>
  <si>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</si>
  <si>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</si>
  <si>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</si>
  <si>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</si>
  <si>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</si>
  <si>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</si>
  <si>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</si>
  <si>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</si>
  <si>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</si>
  <si>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</si>
  <si>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</si>
  <si>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</si>
  <si>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</si>
  <si>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</si>
  <si>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</si>
  <si>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</si>
  <si>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</si>
  <si>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</si>
  <si>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</si>
  <si>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</si>
  <si>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</si>
  <si>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</si>
  <si>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</si>
  <si>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</si>
  <si>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</si>
  <si>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</si>
  <si>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</si>
  <si>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</si>
  <si>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</si>
  <si>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</si>
  <si>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</si>
  <si>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</si>
  <si>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</si>
  <si>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</si>
  <si>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</si>
  <si>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</si>
  <si>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</si>
  <si>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</si>
  <si>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</si>
  <si>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</si>
  <si>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</si>
  <si>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</si>
  <si>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</si>
  <si>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</si>
  <si>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</si>
  <si>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</si>
  <si>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</si>
  <si>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</si>
  <si>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</si>
  <si>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</si>
  <si>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</si>
  <si>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</si>
  <si>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</si>
  <si>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</si>
  <si>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</si>
  <si>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</si>
  <si>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</si>
  <si>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</si>
  <si>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</si>
  <si>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</si>
  <si>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</si>
  <si>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</si>
  <si>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</si>
  <si>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</si>
  <si>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</si>
  <si>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</si>
  <si>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</si>
  <si>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</si>
  <si>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</si>
  <si>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</si>
  <si>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</si>
  <si>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</si>
  <si>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</si>
  <si>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</si>
  <si>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</si>
  <si>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</si>
  <si>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</si>
  <si>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</si>
  <si>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</si>
  <si>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</si>
  <si>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</si>
  <si>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</si>
  <si>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</si>
  <si>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</si>
  <si>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</si>
  <si>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</si>
  <si>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</si>
  <si>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</si>
  <si>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</si>
  <si>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</si>
  <si>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</si>
  <si>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</si>
  <si>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</si>
  <si>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</si>
  <si>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</si>
  <si>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</si>
  <si>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</si>
  <si>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</si>
  <si>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</si>
  <si>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</si>
  <si>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</si>
  <si>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</si>
  <si>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</si>
  <si>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</si>
  <si>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</si>
  <si>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</si>
  <si>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</si>
  <si>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</si>
  <si>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</si>
  <si>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</si>
  <si>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</si>
  <si>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</si>
  <si>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</si>
  <si>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</si>
  <si>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</si>
  <si>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</si>
  <si>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</si>
  <si>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</si>
  <si>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</si>
  <si>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</si>
  <si>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</si>
  <si>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</si>
  <si>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</si>
  <si>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</si>
  <si>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</si>
  <si>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</si>
  <si>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</si>
  <si>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</si>
  <si>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</si>
  <si>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</si>
  <si>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</si>
  <si>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</si>
  <si>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</si>
  <si>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</si>
  <si>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</si>
  <si>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</si>
  <si>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</si>
  <si>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</si>
  <si>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</si>
  <si>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</si>
  <si>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</si>
  <si>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</si>
  <si>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</si>
  <si>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</si>
  <si>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</si>
  <si>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</si>
  <si>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</si>
  <si>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</si>
  <si>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</si>
  <si>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</si>
  <si>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</si>
  <si>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</si>
  <si>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</si>
  <si>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</si>
  <si>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</si>
  <si>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</si>
  <si>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</si>
  <si>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</si>
  <si>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</si>
  <si>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</si>
  <si>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</si>
  <si>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</si>
  <si>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</si>
  <si>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</si>
  <si>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</si>
  <si>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</si>
  <si>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</si>
  <si>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</si>
  <si>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</si>
  <si>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</si>
  <si>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</si>
  <si>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</si>
  <si>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</si>
  <si>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</si>
  <si>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</si>
  <si>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</si>
  <si>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</si>
  <si>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</si>
  <si>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</si>
  <si>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</si>
  <si>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</si>
  <si>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</si>
  <si>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</si>
  <si>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</si>
  <si>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</si>
  <si>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</si>
  <si>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</si>
  <si>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</si>
  <si>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</si>
  <si>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</si>
  <si>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</si>
  <si>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</si>
  <si>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</si>
  <si>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</si>
  <si>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</si>
  <si>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</si>
  <si>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</si>
  <si>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</si>
  <si>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</si>
  <si>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</si>
  <si>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</si>
  <si>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</si>
  <si>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</si>
  <si>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</si>
  <si>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</si>
  <si>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</si>
  <si>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</si>
  <si>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</si>
  <si>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</si>
  <si>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</si>
  <si>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</si>
  <si>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</si>
  <si>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</si>
  <si>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</si>
  <si>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</si>
  <si>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</si>
  <si>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</si>
  <si>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</si>
  <si>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</si>
  <si>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</si>
  <si>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</si>
  <si>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</si>
  <si>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</si>
  <si>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</si>
  <si>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</si>
  <si>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</si>
  <si>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</si>
  <si>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</si>
  <si>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</si>
  <si>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</si>
  <si>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</si>
  <si>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</si>
  <si>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</si>
  <si>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</si>
  <si>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</si>
  <si>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</si>
  <si>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</si>
  <si>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</si>
  <si>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</si>
  <si>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</si>
  <si>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</si>
  <si>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</si>
  <si>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</si>
  <si>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</si>
  <si>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</si>
  <si>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</si>
  <si>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</si>
  <si>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</si>
  <si>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</si>
  <si>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</si>
  <si>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</si>
  <si>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</si>
  <si>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</si>
  <si>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</si>
  <si>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</si>
  <si>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</si>
  <si>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</si>
  <si>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</si>
  <si>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</si>
  <si>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</si>
  <si>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</si>
  <si>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</si>
  <si>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</si>
  <si>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</si>
  <si>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</si>
  <si>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</si>
  <si>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</si>
  <si>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</si>
  <si>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</si>
  <si>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</si>
  <si>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</si>
  <si>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</si>
  <si>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</si>
  <si>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</si>
  <si>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</si>
  <si>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</si>
  <si>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</si>
  <si>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</si>
  <si>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</si>
  <si>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</si>
  <si>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</si>
  <si>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</si>
  <si>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</si>
  <si>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</si>
  <si>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</si>
  <si>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</si>
  <si>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</si>
  <si>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</si>
  <si>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</si>
  <si>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</si>
  <si>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</si>
  <si>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</si>
  <si>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</si>
  <si>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</si>
  <si>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</si>
  <si>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</si>
  <si>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</si>
  <si>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</si>
  <si>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</si>
  <si>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</si>
  <si>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</si>
  <si>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</si>
  <si>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</si>
  <si>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</si>
  <si>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</si>
  <si>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</si>
  <si>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</si>
  <si>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</si>
  <si>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</si>
  <si>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</si>
  <si>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</si>
  <si>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</si>
  <si>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</si>
  <si>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</si>
  <si>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</si>
  <si>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</si>
  <si>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</si>
  <si>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</si>
  <si>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</si>
  <si>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</si>
  <si>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</si>
  <si>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</si>
  <si>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</si>
  <si>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</si>
  <si>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</si>
  <si>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</si>
  <si>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</si>
  <si>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</si>
  <si>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</si>
  <si>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</si>
  <si>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</si>
  <si>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</si>
  <si>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</si>
  <si>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</si>
  <si>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</si>
  <si>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</si>
  <si>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</si>
  <si>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</si>
  <si>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</si>
  <si>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</si>
  <si>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</si>
  <si>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</si>
  <si>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</si>
  <si>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</si>
  <si>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</si>
  <si>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</si>
  <si>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</si>
  <si>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</si>
  <si>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</si>
  <si>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</si>
  <si>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</si>
  <si>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</si>
  <si>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</si>
  <si>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</si>
  <si>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</si>
  <si>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</si>
  <si>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</si>
  <si>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</si>
  <si>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</si>
  <si>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</si>
  <si>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</si>
  <si>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</si>
  <si>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</si>
  <si>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</si>
  <si>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</si>
  <si>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</si>
  <si>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</si>
  <si>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</si>
  <si>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</si>
  <si>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</si>
  <si>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</si>
  <si>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</si>
  <si>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</si>
  <si>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</si>
  <si>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</si>
  <si>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</si>
  <si>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</si>
  <si>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</si>
  <si>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</si>
  <si>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</si>
  <si>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</si>
  <si>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</si>
  <si>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</si>
  <si>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</si>
  <si>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</si>
  <si>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</si>
  <si>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</si>
  <si>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</si>
  <si>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</si>
  <si>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</si>
  <si>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</si>
  <si>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</si>
  <si>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</si>
  <si>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</si>
  <si>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</si>
  <si>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</si>
  <si>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</si>
  <si>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</si>
  <si>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</si>
  <si>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</si>
  <si>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</si>
  <si>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</si>
  <si>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</si>
  <si>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</si>
  <si>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</si>
  <si>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</si>
  <si>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</si>
  <si>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</si>
  <si>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</si>
  <si>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</si>
  <si>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</si>
  <si>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</si>
  <si>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</si>
  <si>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</si>
  <si>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</si>
  <si>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</si>
  <si>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</si>
  <si>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</si>
  <si>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</si>
  <si>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</si>
  <si>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</si>
  <si>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</si>
  <si>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</si>
  <si>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</si>
  <si>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</si>
  <si>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</si>
  <si>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</si>
  <si>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</si>
  <si>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</si>
  <si>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</si>
  <si>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</si>
  <si>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</si>
  <si>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</si>
  <si>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</si>
  <si>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</si>
  <si>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</si>
  <si>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</si>
  <si>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</si>
  <si>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</si>
  <si>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</si>
  <si>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</si>
  <si>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</si>
  <si>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</si>
  <si>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</si>
  <si>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</si>
  <si>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</si>
  <si>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</si>
  <si>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</si>
  <si>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</si>
  <si>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</si>
  <si>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</si>
  <si>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</si>
  <si>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</si>
  <si>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</si>
  <si>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</si>
  <si>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</si>
  <si>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</si>
  <si>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</si>
  <si>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</si>
  <si>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</si>
  <si>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</si>
  <si>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</si>
  <si>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</si>
  <si>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</si>
  <si>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</si>
  <si>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</si>
  <si>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</si>
  <si>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</si>
  <si>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</si>
  <si>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</si>
  <si>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</si>
  <si>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</si>
  <si>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</si>
  <si>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</si>
  <si>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</si>
  <si>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</si>
  <si>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</si>
  <si>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</si>
  <si>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</si>
  <si>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</si>
  <si>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</si>
  <si>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</si>
  <si>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</si>
  <si>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</si>
  <si>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</si>
  <si>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</si>
  <si>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</si>
  <si>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</si>
  <si>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</si>
  <si>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</si>
  <si>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</si>
  <si>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</si>
  <si>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</si>
  <si>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</si>
  <si>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</si>
  <si>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</si>
  <si>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</si>
  <si>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</si>
  <si>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</si>
  <si>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</si>
  <si>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</si>
  <si>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</si>
  <si>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</si>
  <si>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</si>
  <si>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</si>
  <si>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</si>
  <si>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</si>
  <si>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</si>
  <si>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</si>
  <si>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</si>
  <si>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</si>
  <si>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</si>
  <si>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</si>
  <si>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</si>
  <si>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</si>
  <si>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</si>
  <si>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</si>
  <si>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</si>
  <si>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</si>
  <si>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</si>
  <si>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</si>
  <si>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</si>
  <si>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</si>
  <si>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</si>
  <si>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</si>
  <si>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</si>
  <si>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</si>
  <si>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</si>
  <si>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</si>
  <si>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</si>
  <si>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</si>
  <si>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</si>
  <si>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</si>
  <si>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</si>
  <si>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</si>
  <si>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</si>
  <si>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</si>
  <si>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</si>
  <si>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</si>
  <si>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</si>
  <si>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</si>
  <si>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</si>
  <si>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</si>
  <si>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</si>
  <si>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</si>
  <si>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</si>
  <si>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</si>
  <si>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</si>
  <si>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</si>
  <si>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</si>
  <si>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</si>
  <si>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</si>
  <si>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</si>
  <si>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</si>
  <si>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</si>
  <si>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</si>
  <si>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</si>
  <si>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</si>
  <si>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</si>
  <si>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</si>
  <si>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</si>
  <si>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</si>
  <si>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</si>
  <si>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</si>
  <si>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</si>
  <si>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</si>
  <si>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</si>
  <si>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</si>
  <si>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</si>
  <si>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</si>
  <si>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</si>
  <si>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</si>
  <si>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</si>
  <si>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</si>
  <si>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</si>
  <si>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</si>
  <si>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</si>
  <si>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</si>
  <si>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</si>
  <si>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</si>
  <si>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</si>
  <si>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</si>
  <si>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</si>
  <si>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</si>
  <si>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</si>
  <si>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</si>
  <si>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</si>
  <si>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</si>
  <si>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</si>
  <si>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</si>
  <si>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</si>
  <si>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</si>
  <si>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</si>
  <si>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</si>
  <si>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</si>
  <si>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</si>
  <si>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</si>
  <si>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</si>
  <si>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</si>
  <si>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</si>
  <si>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</si>
  <si>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</si>
  <si>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</si>
  <si>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</si>
  <si>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</si>
  <si>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</si>
  <si>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</si>
  <si>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</si>
  <si>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</si>
  <si>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</si>
  <si>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</si>
  <si>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</si>
  <si>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</si>
  <si>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</si>
  <si>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</si>
  <si>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</si>
  <si>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</si>
  <si>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</si>
  <si>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</si>
  <si>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</si>
  <si>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</si>
  <si>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</si>
  <si>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</si>
  <si>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</si>
  <si>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</si>
  <si>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</si>
  <si>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</si>
  <si>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</si>
  <si>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</si>
  <si>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</si>
  <si>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</si>
  <si>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</si>
  <si>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</si>
  <si>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</si>
  <si>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</si>
  <si>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</si>
  <si>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</si>
  <si>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</si>
  <si>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</si>
  <si>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</si>
  <si>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</si>
  <si>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</si>
  <si>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</si>
  <si>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</si>
  <si>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</si>
  <si>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</si>
  <si>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</si>
  <si>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</si>
  <si>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</si>
  <si>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</si>
  <si>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</si>
  <si>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</si>
  <si>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</si>
  <si>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</si>
  <si>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</si>
  <si>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</si>
  <si>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</si>
  <si>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</si>
  <si>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</si>
  <si>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</si>
  <si>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</si>
  <si>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</si>
  <si>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</si>
  <si>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</si>
  <si>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</si>
  <si>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</si>
  <si>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</si>
  <si>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</si>
  <si>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</si>
  <si>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</si>
  <si>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</si>
  <si>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</si>
  <si>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</si>
  <si>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</si>
  <si>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</si>
  <si>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</si>
  <si>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</si>
  <si>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</si>
  <si>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</si>
  <si>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</si>
  <si>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</si>
  <si>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</si>
  <si>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</si>
  <si>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</si>
  <si>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</si>
  <si>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</si>
  <si>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</si>
  <si>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</si>
  <si>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</si>
  <si>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</si>
  <si>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</si>
  <si>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</si>
  <si>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</si>
  <si>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</si>
  <si>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</si>
  <si>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</si>
  <si>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</si>
  <si>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</si>
  <si>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</si>
  <si>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</si>
  <si>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</si>
  <si>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</si>
  <si>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</si>
  <si>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</si>
  <si>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</si>
  <si>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</si>
  <si>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</si>
  <si>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</si>
  <si>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</si>
  <si>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</si>
  <si>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</si>
  <si>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</si>
  <si>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</si>
  <si>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</si>
  <si>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</si>
  <si>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</si>
  <si>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</si>
  <si>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</si>
  <si>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</si>
  <si>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</si>
  <si>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</si>
  <si>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</si>
  <si>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</si>
  <si>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</si>
  <si>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</si>
  <si>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</si>
  <si>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</si>
  <si>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</si>
  <si>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</si>
  <si>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</si>
  <si>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</si>
  <si>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</si>
  <si>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</si>
  <si>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</si>
  <si>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</si>
  <si>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</si>
  <si>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</si>
  <si>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</si>
  <si>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</si>
  <si>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</si>
  <si>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</si>
  <si>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</si>
  <si>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</si>
  <si>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</si>
  <si>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</si>
  <si>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</si>
  <si>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</si>
  <si>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</si>
  <si>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</si>
  <si>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</si>
  <si>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</si>
  <si>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</si>
  <si>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</si>
  <si>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</si>
  <si>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</si>
  <si>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</si>
  <si>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</si>
  <si>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</si>
  <si>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</si>
  <si>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</si>
  <si>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</si>
  <si>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</si>
  <si>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</si>
  <si>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</si>
  <si>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</si>
  <si>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</si>
  <si>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</si>
  <si>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</si>
  <si>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</si>
  <si>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</si>
  <si>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</si>
  <si>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</si>
  <si>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</si>
  <si>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</si>
  <si>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</si>
  <si>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</si>
  <si>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</si>
  <si>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</si>
  <si>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</si>
  <si>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</si>
  <si>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</si>
  <si>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</si>
  <si>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</si>
  <si>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</si>
  <si>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</si>
  <si>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</si>
  <si>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</si>
  <si>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</si>
  <si>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</si>
  <si>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</si>
  <si>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</si>
  <si>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</si>
  <si>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</si>
  <si>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</si>
  <si>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</si>
  <si>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</si>
  <si>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</si>
  <si>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</si>
  <si>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</si>
  <si>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</si>
  <si>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</si>
  <si>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</si>
  <si>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</si>
  <si>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</si>
  <si>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</si>
  <si>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</si>
  <si>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</si>
  <si>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</si>
  <si>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</si>
  <si>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</si>
  <si>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</si>
  <si>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</si>
  <si>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</si>
  <si>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</si>
  <si>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</si>
  <si>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</si>
  <si>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</si>
  <si>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</si>
  <si>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</si>
  <si>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</si>
  <si>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</si>
  <si>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</si>
  <si>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</si>
  <si>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</si>
  <si>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</si>
  <si>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</si>
  <si>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</si>
  <si>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</si>
  <si>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</si>
  <si>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</si>
  <si>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</si>
  <si>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</si>
  <si>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</si>
  <si>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</si>
  <si>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</si>
  <si>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</si>
  <si>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</si>
  <si>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</si>
  <si>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</si>
  <si>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</si>
  <si>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</si>
  <si>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</si>
  <si>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</si>
  <si>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</si>
  <si>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</si>
  <si>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</si>
  <si>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</si>
  <si>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</si>
  <si>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</si>
  <si>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</si>
  <si>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</si>
  <si>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</si>
  <si>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</si>
  <si>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</si>
  <si>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</si>
  <si>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</si>
  <si>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</si>
  <si>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</si>
  <si>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</si>
  <si>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</si>
  <si>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</si>
  <si>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</si>
  <si>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</si>
  <si>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</si>
  <si>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</si>
  <si>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</si>
  <si>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</si>
  <si>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</si>
  <si>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</si>
  <si>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</si>
  <si>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</si>
  <si>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</si>
  <si>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</si>
  <si>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</si>
  <si>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</si>
  <si>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</si>
  <si>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</si>
  <si>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</si>
  <si>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</si>
  <si>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</si>
  <si>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</si>
  <si>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</si>
  <si>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</si>
  <si>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</si>
  <si>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</si>
  <si>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</si>
  <si>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</si>
  <si>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</si>
  <si>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</si>
  <si>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</si>
  <si>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</si>
  <si>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</si>
  <si>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</si>
  <si>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</si>
  <si>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</si>
  <si>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</si>
  <si>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</si>
  <si>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</si>
  <si>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</si>
  <si>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</si>
  <si>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</si>
  <si>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</si>
  <si>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</si>
  <si>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</si>
  <si>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</si>
  <si>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</si>
  <si>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</si>
  <si>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</si>
  <si>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</si>
  <si>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</si>
  <si>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</si>
  <si>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</si>
  <si>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</si>
  <si>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</si>
  <si>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</si>
  <si>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</si>
  <si>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</si>
  <si>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</si>
  <si>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</si>
  <si>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</si>
  <si>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</si>
  <si>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</si>
  <si>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</si>
  <si>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</si>
  <si>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</si>
  <si>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</si>
  <si>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</si>
  <si>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</si>
  <si>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</si>
  <si>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</si>
  <si>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</si>
  <si>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</si>
  <si>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</si>
  <si>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</si>
  <si>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</si>
  <si>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</si>
  <si>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</si>
  <si>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</si>
  <si>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</si>
  <si>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</si>
  <si>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</si>
  <si>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</si>
  <si>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</si>
  <si>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</si>
  <si>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</si>
  <si>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</si>
  <si>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</si>
  <si>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</si>
  <si>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</si>
  <si>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</si>
  <si>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</si>
  <si>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</si>
  <si>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</si>
  <si>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</si>
  <si>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</si>
  <si>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</si>
  <si>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</si>
  <si>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</si>
  <si>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</si>
  <si>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</si>
  <si>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</si>
  <si>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</si>
  <si>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</si>
  <si>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</si>
  <si>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</si>
  <si>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</si>
  <si>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</si>
  <si>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</si>
  <si>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</si>
  <si>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</si>
  <si>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</si>
  <si>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</si>
  <si>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</si>
  <si>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</si>
  <si>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</si>
  <si>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</si>
  <si>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</si>
  <si>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</si>
  <si>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</si>
  <si>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</si>
  <si>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</si>
  <si>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</si>
  <si>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</si>
  <si>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</si>
  <si>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</si>
  <si>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</si>
  <si>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</si>
  <si>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</si>
  <si>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</si>
  <si>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</si>
  <si>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</si>
  <si>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</si>
  <si>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</si>
  <si>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</si>
  <si>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</si>
  <si>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</si>
  <si>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</si>
  <si>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</si>
  <si>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</si>
  <si>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</si>
  <si>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</si>
  <si>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</si>
  <si>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</si>
  <si>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</si>
  <si>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</si>
  <si>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</si>
  <si>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</si>
  <si>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</si>
  <si>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</si>
  <si>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</si>
  <si>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</si>
  <si>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</si>
  <si>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</si>
  <si>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</si>
  <si>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</si>
  <si>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</si>
  <si>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</si>
  <si>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</si>
  <si>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</si>
  <si>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</si>
  <si>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</si>
  <si>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</si>
  <si>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</si>
  <si>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</si>
  <si>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</si>
  <si>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</si>
  <si>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</si>
  <si>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</si>
  <si>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</si>
  <si>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</si>
  <si>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</si>
  <si>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</si>
  <si>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</si>
  <si>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</si>
  <si>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</si>
  <si>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</si>
  <si>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</si>
  <si>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</si>
  <si>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</si>
  <si>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</si>
  <si>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</si>
  <si>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</si>
  <si>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</si>
  <si>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</si>
  <si>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</si>
  <si>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</si>
  <si>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</si>
  <si>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</si>
  <si>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</si>
  <si>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</si>
  <si>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</si>
  <si>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</si>
  <si>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</si>
  <si>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</si>
  <si>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</si>
  <si>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</si>
  <si>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</si>
  <si>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</si>
  <si>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</si>
  <si>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</si>
  <si>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</si>
  <si>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</si>
  <si>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</si>
  <si>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</si>
  <si>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</si>
  <si>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</si>
  <si>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</si>
  <si>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</si>
  <si>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</si>
  <si>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</si>
  <si>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</si>
  <si>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</si>
  <si>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</si>
  <si>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</si>
  <si>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</si>
  <si>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</si>
  <si>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</si>
  <si>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</si>
  <si>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</si>
  <si>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</si>
  <si>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</si>
  <si>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</si>
  <si>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</si>
  <si>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</si>
  <si>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</si>
  <si>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</si>
  <si>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</si>
  <si>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</si>
  <si>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</si>
  <si>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</si>
  <si>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</si>
  <si>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</si>
  <si>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</si>
  <si>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</si>
  <si>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</si>
  <si>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</si>
  <si>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</si>
  <si>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</si>
  <si>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</si>
  <si>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</si>
  <si>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</si>
  <si>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</si>
  <si>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</si>
  <si>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</si>
  <si>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</si>
  <si>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</si>
  <si>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</si>
  <si>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</si>
  <si>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</si>
  <si>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</si>
  <si>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</si>
  <si>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</si>
  <si>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</si>
  <si>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</si>
  <si>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</si>
  <si>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</si>
  <si>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</si>
  <si>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</si>
  <si>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</si>
  <si>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</si>
  <si>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</si>
  <si>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</si>
  <si>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</si>
  <si>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</si>
  <si>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</si>
  <si>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</si>
  <si>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</si>
  <si>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</si>
  <si>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</si>
  <si>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</si>
  <si>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</si>
  <si>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</si>
  <si>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</si>
  <si>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</si>
  <si>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</si>
  <si>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</si>
  <si>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</si>
  <si>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</si>
  <si>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</si>
  <si>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</si>
  <si>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</si>
  <si>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</si>
  <si>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</si>
  <si>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</si>
  <si>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</si>
  <si>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</si>
  <si>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</si>
  <si>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</si>
  <si>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</si>
  <si>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</si>
  <si>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</si>
  <si>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</si>
  <si>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</si>
  <si>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</si>
  <si>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</si>
  <si>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</si>
  <si>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</si>
  <si>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</si>
  <si>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</si>
  <si>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</si>
  <si>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</si>
  <si>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</si>
  <si>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</si>
  <si>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</si>
  <si>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</si>
  <si>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</si>
  <si>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</si>
  <si>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</si>
  <si>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</si>
  <si>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</si>
  <si>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</si>
  <si>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</si>
  <si>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</si>
  <si>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</si>
  <si>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</si>
  <si>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</si>
  <si>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</si>
  <si>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</si>
  <si>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</si>
  <si>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</si>
  <si>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</si>
  <si>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</si>
  <si>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</si>
  <si>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</si>
  <si>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</si>
  <si>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</si>
  <si>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</si>
  <si>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</si>
  <si>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</si>
  <si>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</si>
  <si>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</si>
  <si>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</si>
  <si>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</si>
  <si>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</si>
  <si>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</si>
  <si>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</si>
  <si>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</si>
  <si>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</si>
  <si>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</si>
  <si>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</si>
  <si>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</si>
  <si>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</si>
  <si>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</si>
  <si>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</si>
  <si>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</si>
  <si>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</si>
  <si>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</si>
  <si>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</si>
  <si>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</si>
  <si>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</si>
  <si>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</si>
  <si>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</si>
  <si>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</si>
  <si>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</si>
  <si>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</si>
  <si>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</si>
  <si>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</si>
  <si>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</si>
  <si>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</si>
  <si>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</si>
  <si>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</si>
  <si>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</si>
  <si>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</si>
  <si>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</si>
  <si>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</si>
  <si>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</si>
  <si>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</si>
  <si>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</si>
  <si>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</si>
  <si>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</si>
  <si>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</si>
  <si>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</si>
  <si>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</si>
  <si>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</si>
  <si>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</si>
  <si>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</si>
  <si>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</si>
  <si>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</si>
  <si>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</si>
  <si>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</si>
  <si>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</si>
  <si>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</si>
  <si>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</si>
  <si>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</si>
  <si>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</si>
  <si>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</si>
  <si>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</si>
  <si>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</si>
  <si>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</si>
  <si>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</si>
  <si>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</si>
  <si>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</si>
  <si>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</si>
  <si>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</si>
  <si>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</si>
  <si>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</si>
  <si>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</si>
  <si>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</si>
  <si>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</si>
  <si>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</si>
  <si>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</si>
  <si>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</si>
  <si>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</si>
  <si>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</si>
  <si>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</si>
  <si>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</si>
  <si>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</si>
  <si>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</si>
  <si>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</si>
  <si>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</si>
  <si>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</si>
  <si>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</si>
  <si>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</si>
  <si>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</si>
  <si>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</si>
  <si>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</si>
  <si>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</si>
  <si>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</si>
  <si>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</si>
  <si>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</si>
  <si>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</si>
  <si>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</si>
  <si>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</si>
  <si>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</si>
  <si>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</si>
  <si>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</si>
  <si>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</si>
  <si>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</si>
  <si>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</si>
  <si>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</si>
  <si>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</si>
  <si>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</si>
  <si>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</si>
  <si>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</si>
  <si>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</si>
  <si>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</si>
  <si>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</si>
  <si>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</si>
  <si>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</si>
  <si>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</si>
  <si>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</si>
  <si>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</si>
  <si>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</si>
  <si>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</si>
  <si>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</si>
  <si>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</si>
  <si>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</si>
  <si>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</si>
  <si>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</si>
  <si>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</si>
  <si>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</si>
  <si>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</si>
  <si>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</si>
  <si>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</si>
  <si>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</si>
  <si>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</si>
  <si>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</si>
  <si>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</si>
  <si>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</si>
  <si>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</si>
  <si>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</si>
  <si>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</si>
  <si>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</si>
  <si>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</si>
  <si>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</si>
  <si>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</si>
  <si>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</si>
  <si>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</si>
  <si>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</si>
  <si>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</si>
  <si>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</si>
  <si>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</si>
  <si>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</si>
  <si>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</si>
  <si>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</si>
  <si>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</si>
  <si>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</si>
  <si>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</si>
  <si>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</si>
  <si>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</si>
  <si>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</si>
  <si>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</si>
  <si>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</si>
  <si>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</si>
  <si>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</si>
  <si>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</si>
  <si>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</si>
  <si>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</si>
  <si>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</si>
  <si>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</si>
  <si>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</si>
  <si>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</si>
  <si>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</si>
  <si>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</si>
  <si>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</si>
  <si>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</si>
  <si>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</si>
  <si>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</si>
  <si>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</si>
  <si>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</si>
  <si>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</si>
  <si>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</si>
  <si>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</si>
  <si>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</si>
  <si>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</si>
  <si>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</si>
  <si>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</si>
  <si>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</si>
  <si>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</si>
  <si>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</si>
  <si>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</si>
  <si>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</si>
  <si>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</si>
  <si>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</si>
  <si>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</si>
  <si>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</si>
  <si>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</si>
  <si>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</si>
  <si>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</si>
  <si>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</si>
  <si>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</si>
  <si>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</si>
  <si>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</si>
  <si>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</si>
  <si>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</si>
  <si>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</si>
  <si>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</si>
  <si>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</si>
  <si>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</si>
  <si>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</si>
  <si>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</si>
  <si>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</si>
  <si>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</si>
  <si>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</si>
  <si>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</si>
  <si>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</si>
  <si>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</si>
  <si>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</si>
  <si>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</si>
  <si>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</si>
  <si>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</si>
  <si>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</si>
  <si>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出让</t>
  </si>
  <si>
    <t>是</t>
  </si>
  <si>
    <t>地上</t>
  </si>
  <si>
    <t>商业</t>
    <phoneticPr fontId="7" type="noConversion"/>
  </si>
  <si>
    <t>成新度</t>
  </si>
  <si>
    <t>收益法</t>
  </si>
  <si>
    <t>按租金收入计税</t>
  </si>
  <si>
    <t>钢混</t>
  </si>
  <si>
    <t>非生产用房</t>
  </si>
  <si>
    <t>郑燚</t>
  </si>
  <si>
    <t>王鹏</t>
  </si>
  <si>
    <t>企业</t>
  </si>
  <si>
    <t>武汉骏恒物业管理有限公司</t>
    <phoneticPr fontId="6" type="noConversion"/>
  </si>
  <si>
    <t>抵押</t>
  </si>
  <si>
    <t>房地产抵押价值</t>
  </si>
  <si>
    <t>其他：</t>
  </si>
  <si>
    <t>上海市黄浦区</t>
    <phoneticPr fontId="6" type="noConversion"/>
  </si>
  <si>
    <t>现房</t>
  </si>
  <si>
    <r>
      <rPr>
        <sz val="12"/>
        <color theme="9" tint="-0.249977111117893"/>
        <rFont val="宋体"/>
        <family val="3"/>
        <charset val="134"/>
      </rPr>
      <t>西藏南路</t>
    </r>
    <r>
      <rPr>
        <sz val="12"/>
        <color theme="9" tint="-0.249977111117893"/>
        <rFont val="Arial"/>
        <family val="2"/>
      </rPr>
      <t>518-528</t>
    </r>
    <r>
      <rPr>
        <sz val="12"/>
        <color theme="9" tint="-0.249977111117893"/>
        <rFont val="宋体"/>
        <family val="3"/>
        <charset val="134"/>
      </rPr>
      <t>号</t>
    </r>
    <r>
      <rPr>
        <sz val="12"/>
        <color theme="9" tint="-0.249977111117893"/>
        <rFont val="Arial"/>
        <family val="2"/>
      </rPr>
      <t>102</t>
    </r>
    <r>
      <rPr>
        <sz val="12"/>
        <color theme="9" tint="-0.249977111117893"/>
        <rFont val="宋体"/>
        <family val="3"/>
        <charset val="134"/>
      </rPr>
      <t>、</t>
    </r>
    <r>
      <rPr>
        <sz val="12"/>
        <color theme="9" tint="-0.249977111117893"/>
        <rFont val="Arial"/>
        <family val="2"/>
      </rPr>
      <t>202</t>
    </r>
    <r>
      <rPr>
        <sz val="12"/>
        <color theme="9" tint="-0.249977111117893"/>
        <rFont val="宋体"/>
        <family val="3"/>
        <charset val="134"/>
      </rPr>
      <t>、</t>
    </r>
    <r>
      <rPr>
        <sz val="12"/>
        <color theme="9" tint="-0.249977111117893"/>
        <rFont val="Arial"/>
        <family val="2"/>
      </rPr>
      <t>302</t>
    </r>
    <r>
      <rPr>
        <sz val="12"/>
        <color theme="9" tint="-0.249977111117893"/>
        <rFont val="宋体"/>
        <family val="3"/>
        <charset val="134"/>
      </rPr>
      <t>室商业</t>
    </r>
    <phoneticPr fontId="6" type="noConversion"/>
  </si>
  <si>
    <t>《不动产权证书》沪（2019）黄字不动产权第003815、003816、003817号</t>
    <phoneticPr fontId="6" type="noConversion"/>
  </si>
  <si>
    <t>商业项目</t>
  </si>
  <si>
    <t>押三</t>
  </si>
  <si>
    <t>比较法案例</t>
    <phoneticPr fontId="143" type="noConversion"/>
  </si>
  <si>
    <r>
      <t>设定1层系数为</t>
    </r>
    <r>
      <rPr>
        <sz val="11"/>
        <color theme="1"/>
        <rFont val="宋体"/>
        <family val="3"/>
        <charset val="134"/>
        <scheme val="minor"/>
      </rPr>
      <t>1</t>
    </r>
    <phoneticPr fontId="143" type="noConversion"/>
  </si>
  <si>
    <r>
      <t>2层系数为</t>
    </r>
    <r>
      <rPr>
        <sz val="11"/>
        <color theme="1"/>
        <rFont val="宋体"/>
        <family val="3"/>
        <charset val="134"/>
        <scheme val="minor"/>
      </rPr>
      <t>0.7</t>
    </r>
    <phoneticPr fontId="143" type="noConversion"/>
  </si>
  <si>
    <r>
      <t>3层系数为</t>
    </r>
    <r>
      <rPr>
        <sz val="11"/>
        <color theme="1"/>
        <rFont val="宋体"/>
        <family val="3"/>
        <charset val="134"/>
        <scheme val="minor"/>
      </rPr>
      <t>0.6</t>
    </r>
    <phoneticPr fontId="143" type="noConversion"/>
  </si>
  <si>
    <t>1-2层为0.85</t>
    <phoneticPr fontId="143" type="noConversion"/>
  </si>
  <si>
    <t>1-3层为0.7667</t>
    <phoneticPr fontId="143" type="noConversion"/>
  </si>
  <si>
    <t>正常</t>
  </si>
  <si>
    <t>商业</t>
    <phoneticPr fontId="31" type="noConversion"/>
  </si>
  <si>
    <t>40-50（含）</t>
  </si>
  <si>
    <t>好</t>
  </si>
  <si>
    <t>较好</t>
  </si>
  <si>
    <t>六通</t>
  </si>
  <si>
    <t>临街状况</t>
  </si>
  <si>
    <t>比较法-商业</t>
  </si>
  <si>
    <t>市场租金案例</t>
    <phoneticPr fontId="143" type="noConversion"/>
  </si>
  <si>
    <t>昆仑信托有限责任公司</t>
    <phoneticPr fontId="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</si>
</sst>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7" borderId="5" xfId="0" applyNumberFormat="1" applyFont="1" applyFill="1" applyBorder="1" applyAlignment="1" applyProtection="1">
      <alignment horizontal="left" vertical="center"/>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9525</xdr:rowOff>
    </xdr:from>
    <xdr:to>
      <xdr:col>10</xdr:col>
      <xdr:colOff>582064</xdr:colOff>
      <xdr:row>66</xdr:row>
      <xdr:rowOff>133870</xdr:rowOff>
    </xdr:to>
    <xdr:pic>
      <xdr:nvPicPr>
        <xdr:cNvPr id="2" name="图片 1" descr="微信截图_20191017101647.png"/>
        <xdr:cNvPicPr>
          <a:picLocks noChangeAspect="1"/>
        </xdr:cNvPicPr>
      </xdr:nvPicPr>
      <xdr:blipFill>
        <a:blip xmlns:r="http://schemas.openxmlformats.org/officeDocument/2006/relationships" r:embed="rId1" cstate="print"/>
        <a:stretch>
          <a:fillRect/>
        </a:stretch>
      </xdr:blipFill>
      <xdr:spPr>
        <a:xfrm>
          <a:off x="0" y="7724775"/>
          <a:ext cx="7440064" cy="3724795"/>
        </a:xfrm>
        <a:prstGeom prst="rect">
          <a:avLst/>
        </a:prstGeom>
      </xdr:spPr>
    </xdr:pic>
    <xdr:clientData/>
  </xdr:twoCellAnchor>
  <xdr:twoCellAnchor editAs="oneCell">
    <xdr:from>
      <xdr:col>0</xdr:col>
      <xdr:colOff>0</xdr:colOff>
      <xdr:row>23</xdr:row>
      <xdr:rowOff>26175</xdr:rowOff>
    </xdr:from>
    <xdr:to>
      <xdr:col>10</xdr:col>
      <xdr:colOff>229590</xdr:colOff>
      <xdr:row>43</xdr:row>
      <xdr:rowOff>140970</xdr:rowOff>
    </xdr:to>
    <xdr:pic>
      <xdr:nvPicPr>
        <xdr:cNvPr id="3" name="图片 2" descr="微信截图_20191017102040.png"/>
        <xdr:cNvPicPr>
          <a:picLocks noChangeAspect="1"/>
        </xdr:cNvPicPr>
      </xdr:nvPicPr>
      <xdr:blipFill>
        <a:blip xmlns:r="http://schemas.openxmlformats.org/officeDocument/2006/relationships" r:embed="rId2" cstate="print"/>
        <a:stretch>
          <a:fillRect/>
        </a:stretch>
      </xdr:blipFill>
      <xdr:spPr>
        <a:xfrm>
          <a:off x="0" y="3969525"/>
          <a:ext cx="7087590" cy="3543795"/>
        </a:xfrm>
        <a:prstGeom prst="rect">
          <a:avLst/>
        </a:prstGeom>
      </xdr:spPr>
    </xdr:pic>
    <xdr:clientData/>
  </xdr:twoCellAnchor>
  <xdr:twoCellAnchor editAs="oneCell">
    <xdr:from>
      <xdr:col>0</xdr:col>
      <xdr:colOff>0</xdr:colOff>
      <xdr:row>1</xdr:row>
      <xdr:rowOff>42825</xdr:rowOff>
    </xdr:from>
    <xdr:to>
      <xdr:col>10</xdr:col>
      <xdr:colOff>229590</xdr:colOff>
      <xdr:row>21</xdr:row>
      <xdr:rowOff>157620</xdr:rowOff>
    </xdr:to>
    <xdr:pic>
      <xdr:nvPicPr>
        <xdr:cNvPr id="4" name="图片 3" descr="微信截图_20191017102115.png"/>
        <xdr:cNvPicPr>
          <a:picLocks noChangeAspect="1"/>
        </xdr:cNvPicPr>
      </xdr:nvPicPr>
      <xdr:blipFill>
        <a:blip xmlns:r="http://schemas.openxmlformats.org/officeDocument/2006/relationships" r:embed="rId3" cstate="print"/>
        <a:stretch>
          <a:fillRect/>
        </a:stretch>
      </xdr:blipFill>
      <xdr:spPr>
        <a:xfrm>
          <a:off x="0" y="214275"/>
          <a:ext cx="7087590" cy="3543795"/>
        </a:xfrm>
        <a:prstGeom prst="rect">
          <a:avLst/>
        </a:prstGeom>
      </xdr:spPr>
    </xdr:pic>
    <xdr:clientData/>
  </xdr:twoCellAnchor>
  <xdr:twoCellAnchor editAs="oneCell">
    <xdr:from>
      <xdr:col>0</xdr:col>
      <xdr:colOff>0</xdr:colOff>
      <xdr:row>68</xdr:row>
      <xdr:rowOff>0</xdr:rowOff>
    </xdr:from>
    <xdr:to>
      <xdr:col>9</xdr:col>
      <xdr:colOff>667705</xdr:colOff>
      <xdr:row>94</xdr:row>
      <xdr:rowOff>57781</xdr:rowOff>
    </xdr:to>
    <xdr:pic>
      <xdr:nvPicPr>
        <xdr:cNvPr id="5" name="图片 4" descr="微信截图_20191017102729.png"/>
        <xdr:cNvPicPr>
          <a:picLocks noChangeAspect="1"/>
        </xdr:cNvPicPr>
      </xdr:nvPicPr>
      <xdr:blipFill>
        <a:blip xmlns:r="http://schemas.openxmlformats.org/officeDocument/2006/relationships" r:embed="rId4" cstate="print"/>
        <a:stretch>
          <a:fillRect/>
        </a:stretch>
      </xdr:blipFill>
      <xdr:spPr>
        <a:xfrm>
          <a:off x="0" y="11658600"/>
          <a:ext cx="6839905" cy="45154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上海市黄浦区西藏南路518-528号102、202、302室商业房地产抵押价值预评估</v>
      </c>
    </row>
    <row r="3" spans="1:2" s="1593" customFormat="1">
      <c r="A3" s="1591" t="s">
        <v>1217</v>
      </c>
      <c r="B3" s="1592" t="str">
        <f>'预评函-封皮'!B40</f>
        <v>昆仑信托有限责任公司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受贵公司委托，我公司对上海市黄浦区西藏南路518-528号102、202、302室商业房地产抵押价值进行了预评估。</v>
      </c>
    </row>
    <row r="7" spans="1:2" s="1593" customFormat="1">
      <c r="A7" s="1591" t="s">
        <v>1260</v>
      </c>
      <c r="B7" s="1592" t="str">
        <f>'预评函-1'!A7</f>
        <v>估价对象为上海市黄浦区西藏南路518-528号102、202、302室商业房地产，为武汉骏恒物业管理有限公司所有。根据，估价对象（分摊）出让国有建设用地使用权面积为0平方米，建筑面积为10338.94平方米。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上海市黄浦区西藏南路518-528号102、202、302室商业房地产,属武汉骏恒物业管理有限公司开发建设的商业项目，该项目尚在开发建设中。根据，估价对象（分摊）出让国有建设用地使用权面积为0平方米，规划建筑面积为10338.94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武汉骏恒物业管理有限公司拟使用上海市黄浦区西藏南路518-528号102、202、302室商业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2019年10月16日（评估专业人员实地查勘之日）</v>
      </c>
    </row>
    <row r="13" spans="1:2" s="1593" customFormat="1">
      <c r="A13" s="1591" t="s">
        <v>1223</v>
      </c>
      <c r="B13" s="1592" t="str">
        <f>'预评函-1'!A18</f>
        <v>本次估价的“房地产价值”是指在正常市场情况下，在价值时点2019年10月16日，估价对象规划用途为，土地取得方式为出让，出让国有建设用地使用权剩余土地使用年限为16.13，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16.13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40190</v>
      </c>
    </row>
    <row r="21" spans="1:2" s="1593" customFormat="1">
      <c r="A21" s="1591" t="s">
        <v>1231</v>
      </c>
      <c r="B21" s="1592">
        <f ca="1">'预评函-2'!D7</f>
        <v>38872</v>
      </c>
    </row>
    <row r="22" spans="1:2" s="1593" customFormat="1">
      <c r="A22" s="1591" t="s">
        <v>1232</v>
      </c>
      <c r="B22" s="1592" t="str">
        <f ca="1">'预评函-2'!D6</f>
        <v>肆亿零壹佰玖拾万元整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40190</v>
      </c>
    </row>
    <row r="31" spans="1:2" s="1593" customFormat="1">
      <c r="A31" s="1591" t="s">
        <v>1270</v>
      </c>
      <c r="B31" s="1592">
        <f ca="1">'预评函-2'!D15</f>
        <v>38872</v>
      </c>
    </row>
    <row r="32" spans="1:2" s="1593" customFormat="1">
      <c r="A32" s="1591" t="s">
        <v>1237</v>
      </c>
      <c r="B32" s="1592" t="str">
        <f ca="1">'预评函-2'!D14</f>
        <v>肆亿零壹佰玖拾万元整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上海市黄浦区西藏南路518-528号102、202、302室商业房地产</v>
      </c>
    </row>
    <row r="42" spans="1:2" s="1593" customFormat="1">
      <c r="A42" s="1591" t="s">
        <v>1284</v>
      </c>
      <c r="B42" s="1592" t="str">
        <f>'预评函-3'!B2</f>
        <v>建筑面积</v>
      </c>
    </row>
    <row r="43" spans="1:2" s="1593" customFormat="1">
      <c r="A43" s="1591" t="s">
        <v>1285</v>
      </c>
      <c r="B43" s="1592">
        <f>'预评函-3'!B4</f>
        <v>10338.94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骏恒物业管理有限公司拟使用上海市黄浦区西藏南路518-528号102、202、302室商业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1" t="s">
        <v>861</v>
      </c>
      <c r="C54" s="2018" t="s">
        <v>1277</v>
      </c>
    </row>
    <row r="55" spans="1:4">
      <c r="A55" s="2996"/>
      <c r="B55" s="2021" t="s">
        <v>862</v>
      </c>
      <c r="C55" s="2018" t="s">
        <v>1278</v>
      </c>
    </row>
    <row r="56" spans="1:4">
      <c r="A56" s="2996"/>
      <c r="B56" s="2021" t="s">
        <v>863</v>
      </c>
      <c r="C56" s="2018" t="s">
        <v>1282</v>
      </c>
    </row>
    <row r="57" spans="1:4">
      <c r="A57" s="299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1" customWidth="1"/>
    <col min="2" max="2" width="11.625" style="2031" customWidth="1"/>
    <col min="3" max="3" width="11.5" style="2031" customWidth="1"/>
    <col min="4" max="4" width="13" style="2031" customWidth="1"/>
    <col min="5"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1770</v>
      </c>
      <c r="B1" s="3005" t="str">
        <f>IF(B10="北京市","北京市",C10)&amp;F10&amp;IF(结果表!G1="在建","出让国有建设用地使用权及在建建筑物",IF(结果表!G1="土地","出让国有建设用地使用权",))&amp;B9&amp;"预评估"</f>
        <v>上海市黄浦区西藏南路518-528号102、202、302室商业房地产抵押价值预评估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上海市黄浦区西藏南路518-528号102、202、302室商业房地产抵押价值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上海市黄浦区西藏南路518-528号102、202、302室商业房地产</v>
      </c>
    </row>
    <row r="3" spans="1:19" ht="18" customHeight="1">
      <c r="A3" s="2034" t="s">
        <v>1772</v>
      </c>
      <c r="B3" s="2035">
        <v>43754</v>
      </c>
      <c r="C3" s="2036" t="s">
        <v>1773</v>
      </c>
      <c r="D3" s="2035">
        <f>B3</f>
        <v>43754</v>
      </c>
      <c r="E3" s="2025"/>
      <c r="F3" s="2025"/>
      <c r="G3" s="2025"/>
      <c r="H3" s="2025"/>
      <c r="I3" s="2025"/>
      <c r="J3" s="2025"/>
      <c r="K3" s="2026"/>
      <c r="L3" s="2027"/>
      <c r="M3" s="2027"/>
      <c r="N3" s="2028"/>
      <c r="O3" s="2029"/>
      <c r="P3" s="2028"/>
      <c r="Q3" s="2028"/>
      <c r="R3" s="2028"/>
      <c r="S3" s="2030"/>
    </row>
    <row r="4" spans="1:19" ht="18" customHeight="1" thickBot="1">
      <c r="A4" s="2037" t="s">
        <v>1774</v>
      </c>
      <c r="B4" s="2038" t="s">
        <v>3063</v>
      </c>
      <c r="C4" s="1037">
        <f ca="1">SUMIF(注册房地产估价师,B4,估价师及机构信息!B3:B24)</f>
        <v>1120070131</v>
      </c>
      <c r="D4" s="2038" t="s">
        <v>3064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1775</v>
      </c>
      <c r="B5" s="3282" t="s">
        <v>3091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3283" t="str">
        <f>B5</f>
        <v>昆仑信托有限责任公司</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3281" t="s">
        <v>3066</v>
      </c>
      <c r="C7" s="2047"/>
      <c r="D7" s="2048"/>
      <c r="E7" s="2033"/>
      <c r="F7" s="2041"/>
      <c r="G7" s="2041"/>
      <c r="H7" s="2041"/>
      <c r="I7" s="2041"/>
      <c r="J7" s="2041"/>
      <c r="K7" s="2050"/>
      <c r="L7" s="2027"/>
      <c r="M7" s="2027"/>
      <c r="N7" s="2028"/>
      <c r="O7" s="2029"/>
      <c r="P7" s="2028"/>
      <c r="Q7" s="2028"/>
      <c r="R7" s="2028"/>
    </row>
    <row r="8" spans="1:19" ht="18" customHeight="1">
      <c r="A8" s="2046" t="s">
        <v>1778</v>
      </c>
      <c r="B8" s="2051" t="s">
        <v>3067</v>
      </c>
      <c r="C8" s="2052"/>
      <c r="D8" s="3008" t="s">
        <v>1779</v>
      </c>
      <c r="E8" s="2053"/>
      <c r="F8" s="2054"/>
      <c r="G8" s="2025"/>
      <c r="H8" s="2025"/>
      <c r="I8" s="2025"/>
      <c r="J8" s="2041"/>
      <c r="K8" s="2042"/>
      <c r="L8" s="2027"/>
      <c r="M8" s="2027"/>
      <c r="N8" s="2028"/>
      <c r="O8" s="2029"/>
      <c r="P8" s="2028"/>
      <c r="Q8" s="2028"/>
      <c r="R8" s="2028"/>
    </row>
    <row r="9" spans="1:19" ht="18" customHeight="1" thickBot="1">
      <c r="A9" s="2039" t="s">
        <v>1780</v>
      </c>
      <c r="B9" s="2055" t="s">
        <v>3068</v>
      </c>
      <c r="C9" s="2056"/>
      <c r="D9" s="3009"/>
      <c r="E9" s="2055"/>
      <c r="F9" s="2057"/>
      <c r="G9" s="2058"/>
      <c r="H9" s="2058"/>
      <c r="I9" s="2058"/>
      <c r="J9" s="2041"/>
      <c r="K9" s="2050"/>
      <c r="L9" s="2027"/>
      <c r="M9" s="2027"/>
      <c r="N9" s="2028"/>
      <c r="O9" s="2029"/>
      <c r="P9" s="2028"/>
      <c r="Q9" s="2028"/>
      <c r="R9" s="2028"/>
    </row>
    <row r="10" spans="1:19" ht="18" customHeight="1" thickTop="1">
      <c r="A10" s="2059" t="s">
        <v>1781</v>
      </c>
      <c r="B10" s="2060" t="s">
        <v>3069</v>
      </c>
      <c r="C10" s="3284" t="s">
        <v>3070</v>
      </c>
      <c r="D10" s="2045"/>
      <c r="E10" s="2061" t="s">
        <v>1782</v>
      </c>
      <c r="F10" s="2951" t="s">
        <v>3072</v>
      </c>
      <c r="G10" s="2062"/>
      <c r="H10" s="2063"/>
      <c r="I10" s="2045"/>
      <c r="J10" s="2041"/>
      <c r="K10" s="2050"/>
      <c r="L10" s="2027"/>
      <c r="M10" s="2027"/>
      <c r="N10" s="2028"/>
      <c r="O10" s="2029"/>
      <c r="P10" s="2028"/>
      <c r="Q10" s="2028"/>
      <c r="R10" s="2028"/>
    </row>
    <row r="11" spans="1:19" ht="18" customHeight="1">
      <c r="A11" s="2064" t="s">
        <v>1783</v>
      </c>
      <c r="B11" s="2065" t="s">
        <v>3065</v>
      </c>
      <c r="C11" s="3281" t="s">
        <v>3066</v>
      </c>
      <c r="D11" s="2066"/>
      <c r="E11" s="2041"/>
      <c r="F11" s="2041"/>
      <c r="G11" s="2041"/>
      <c r="H11" s="2041"/>
      <c r="I11" s="2041"/>
      <c r="J11" s="2041"/>
      <c r="K11" s="2050"/>
      <c r="L11" s="2027"/>
      <c r="M11" s="2027"/>
      <c r="N11" s="2028"/>
      <c r="O11" s="2029"/>
      <c r="P11" s="2028"/>
      <c r="Q11" s="2028"/>
      <c r="R11" s="2028"/>
    </row>
    <row r="12" spans="1:19" ht="18" customHeight="1">
      <c r="A12" s="2067" t="s">
        <v>1784</v>
      </c>
      <c r="B12" s="2065" t="s">
        <v>3054</v>
      </c>
      <c r="C12" s="2068" t="s">
        <v>1785</v>
      </c>
      <c r="D12" s="2069" t="s">
        <v>1786</v>
      </c>
      <c r="E12" s="2069" t="s">
        <v>1787</v>
      </c>
      <c r="F12" s="2069" t="s">
        <v>1788</v>
      </c>
      <c r="G12" s="2069" t="s">
        <v>1789</v>
      </c>
      <c r="H12" s="2069" t="s">
        <v>1790</v>
      </c>
      <c r="I12" s="2069" t="s">
        <v>1791</v>
      </c>
      <c r="J12" s="2041"/>
      <c r="K12" s="2050"/>
      <c r="L12" s="2027"/>
      <c r="M12" s="2027"/>
      <c r="N12" s="2028"/>
      <c r="O12" s="2029"/>
      <c r="P12" s="2028"/>
      <c r="Q12" s="2028"/>
      <c r="R12" s="2028"/>
    </row>
    <row r="13" spans="1:19" ht="18" customHeight="1">
      <c r="A13" s="2070"/>
      <c r="B13" s="2071"/>
      <c r="C13" s="2072" t="s">
        <v>1792</v>
      </c>
      <c r="D13" s="2073"/>
      <c r="E13" s="2073">
        <v>49644</v>
      </c>
      <c r="F13" s="2073"/>
      <c r="G13" s="2073"/>
      <c r="H13" s="2073"/>
      <c r="I13" s="1047"/>
      <c r="J13" s="2041"/>
      <c r="K13" s="2050"/>
      <c r="L13" s="2027"/>
      <c r="M13" s="2027"/>
      <c r="N13" s="2028"/>
      <c r="O13" s="2029"/>
      <c r="P13" s="2028"/>
      <c r="Q13" s="2028"/>
      <c r="R13" s="2028"/>
    </row>
    <row r="14" spans="1:19" ht="18" customHeight="1">
      <c r="A14" s="2070"/>
      <c r="B14" s="2071"/>
      <c r="C14" s="2072" t="s">
        <v>1793</v>
      </c>
      <c r="D14" s="1050"/>
      <c r="E14" s="1050">
        <v>40</v>
      </c>
      <c r="F14" s="1050"/>
      <c r="G14" s="1050"/>
      <c r="H14" s="1050"/>
      <c r="I14" s="1050"/>
      <c r="J14" s="2041"/>
      <c r="K14" s="2074"/>
      <c r="L14" s="2027"/>
      <c r="M14" s="2027"/>
      <c r="N14" s="2028"/>
      <c r="O14" s="2029"/>
      <c r="P14" s="2028"/>
      <c r="Q14" s="2028"/>
      <c r="R14" s="2028"/>
    </row>
    <row r="15" spans="1:19" ht="18" customHeight="1">
      <c r="A15" s="2059"/>
      <c r="B15" s="2075"/>
      <c r="C15" s="2072" t="s">
        <v>1794</v>
      </c>
      <c r="D15" s="1049" t="str">
        <f>IF(B12="出让",IF(D13="","",ROUNDDOWN(MIN((D13-$D$3)/365,D14),2)),D14)</f>
        <v/>
      </c>
      <c r="E15" s="1049">
        <f>IF(B12="出让",IF(E13="","",ROUNDDOWN(MIN((E13-$D$3)/365,E14),2)),E14)</f>
        <v>16.13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6"/>
      <c r="L15" s="2077"/>
      <c r="M15" s="2077"/>
      <c r="N15" s="2078"/>
      <c r="O15" s="2077"/>
      <c r="P15" s="2078"/>
      <c r="Q15" s="2028"/>
      <c r="R15" s="2028"/>
    </row>
    <row r="16" spans="1:19" ht="30.75" customHeight="1">
      <c r="A16" s="2061" t="s">
        <v>1795</v>
      </c>
      <c r="B16" s="3015"/>
      <c r="C16" s="3016"/>
      <c r="D16" s="3017"/>
      <c r="E16" s="2079" t="s">
        <v>1796</v>
      </c>
      <c r="F16" s="3018">
        <v>16.13</v>
      </c>
      <c r="G16" s="3019"/>
      <c r="H16" s="3019"/>
      <c r="I16" s="3020"/>
      <c r="J16" s="2028"/>
      <c r="K16" s="2076"/>
      <c r="L16" s="2077"/>
      <c r="M16" s="2077"/>
      <c r="N16" s="2078"/>
      <c r="O16" s="2077"/>
      <c r="P16" s="2078"/>
      <c r="Q16" s="2028"/>
      <c r="R16" s="2028"/>
    </row>
    <row r="17" spans="1:22" ht="18" customHeight="1">
      <c r="A17" s="2080" t="s">
        <v>1797</v>
      </c>
      <c r="B17" s="2034" t="s">
        <v>1798</v>
      </c>
      <c r="C17" s="1054">
        <f>'数据-汇总表'!E3</f>
        <v>10338.94</v>
      </c>
      <c r="D17" s="2081" t="s">
        <v>1799</v>
      </c>
      <c r="E17" s="3285" t="s">
        <v>3073</v>
      </c>
      <c r="F17" s="3021"/>
      <c r="G17" s="3021"/>
      <c r="H17" s="3021"/>
      <c r="I17" s="3022"/>
      <c r="J17" s="2028"/>
      <c r="K17" s="2082"/>
      <c r="L17" s="2077"/>
      <c r="M17" s="2077"/>
      <c r="N17" s="2078"/>
      <c r="O17" s="2077"/>
      <c r="P17" s="2078"/>
      <c r="Q17" s="2028"/>
      <c r="R17" s="2028"/>
      <c r="S17" s="2028"/>
      <c r="T17" s="2028"/>
      <c r="U17" s="2028"/>
      <c r="V17" s="2028"/>
    </row>
    <row r="18" spans="1:22" ht="36" customHeight="1" thickBot="1">
      <c r="A18" s="2083" t="s">
        <v>1800</v>
      </c>
      <c r="B18" s="2037" t="s">
        <v>1801</v>
      </c>
      <c r="C18" s="1444">
        <f>'数据-汇总表'!D3</f>
        <v>0</v>
      </c>
      <c r="D18" s="2084" t="s">
        <v>1799</v>
      </c>
      <c r="E18" s="3023"/>
      <c r="F18" s="3024"/>
      <c r="G18" s="3024"/>
      <c r="H18" s="3024"/>
      <c r="I18" s="3025"/>
      <c r="J18" s="2028"/>
      <c r="K18" s="2082"/>
      <c r="L18" s="2077"/>
      <c r="M18" s="2077"/>
      <c r="N18" s="2078"/>
      <c r="O18" s="2077"/>
      <c r="P18" s="2078"/>
      <c r="Q18" s="2028"/>
      <c r="R18" s="2028"/>
      <c r="S18" s="2028"/>
      <c r="T18" s="2028"/>
      <c r="U18" s="2028"/>
      <c r="V18" s="2028"/>
    </row>
    <row r="19" spans="1:22" ht="37.5" customHeight="1" thickTop="1" thickBot="1">
      <c r="A19" s="373" t="s">
        <v>1802</v>
      </c>
      <c r="B19" s="352" t="s">
        <v>1803</v>
      </c>
      <c r="C19" s="2085"/>
      <c r="D19" s="2086" t="s">
        <v>1804</v>
      </c>
      <c r="E19" s="2087"/>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1805</v>
      </c>
      <c r="B20" s="3011" t="s">
        <v>1806</v>
      </c>
      <c r="C20" s="3012"/>
      <c r="D20" s="3013" t="s">
        <v>1807</v>
      </c>
      <c r="E20" s="3014"/>
      <c r="F20" s="2091" t="s">
        <v>1808</v>
      </c>
      <c r="G20" s="2041"/>
      <c r="H20" s="2041"/>
      <c r="I20" s="2041"/>
      <c r="J20" s="2041"/>
      <c r="K20" s="3010"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8"/>
      <c r="O20" s="2077"/>
      <c r="P20" s="2078"/>
      <c r="Q20" s="2028"/>
      <c r="R20" s="2028"/>
      <c r="S20" s="2028"/>
      <c r="T20" s="2028"/>
      <c r="U20" s="2028"/>
      <c r="V20" s="2028"/>
    </row>
    <row r="21" spans="1:22" ht="24.75" customHeight="1">
      <c r="A21" s="2090"/>
      <c r="B21" s="2092" t="s">
        <v>1810</v>
      </c>
      <c r="C21" s="2093" t="s">
        <v>1811</v>
      </c>
      <c r="D21" s="2094"/>
      <c r="E21" s="2095" t="s">
        <v>1811</v>
      </c>
      <c r="F21" s="2096"/>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8"/>
      <c r="O21" s="2077"/>
      <c r="P21" s="2078"/>
      <c r="Q21" s="2028"/>
      <c r="R21" s="2028"/>
      <c r="S21" s="2028"/>
      <c r="T21" s="2028"/>
      <c r="U21" s="2028"/>
      <c r="V21" s="2028"/>
    </row>
    <row r="22" spans="1:22" ht="24.75" customHeight="1" thickBot="1">
      <c r="A22" s="2090"/>
      <c r="B22" s="2097" t="s">
        <v>1812</v>
      </c>
      <c r="C22" s="2093" t="s">
        <v>1813</v>
      </c>
      <c r="D22" s="2025"/>
      <c r="E22" s="2025"/>
      <c r="F22" s="2098"/>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1814</v>
      </c>
      <c r="B23" s="183" t="s">
        <v>1815</v>
      </c>
      <c r="C23" s="2100"/>
      <c r="D23" s="2101" t="s">
        <v>1815</v>
      </c>
      <c r="E23" s="2102"/>
      <c r="F23" s="2098"/>
      <c r="G23" s="2041"/>
      <c r="H23" s="2041"/>
      <c r="I23" s="2041"/>
      <c r="J23" s="2041"/>
      <c r="K23" s="2103"/>
      <c r="L23" s="748"/>
      <c r="M23" s="2027"/>
      <c r="N23" s="2078"/>
      <c r="O23" s="2077"/>
      <c r="P23" s="2078"/>
      <c r="Q23" s="2028"/>
      <c r="R23" s="2028"/>
      <c r="S23" s="2028"/>
      <c r="T23" s="2028"/>
      <c r="U23" s="2028"/>
      <c r="V23" s="2028"/>
    </row>
    <row r="24" spans="1:22" ht="18" customHeight="1">
      <c r="A24" s="2104"/>
      <c r="B24" s="183" t="s">
        <v>1816</v>
      </c>
      <c r="C24" s="2105"/>
      <c r="D24" s="2099" t="s">
        <v>1816</v>
      </c>
      <c r="E24" s="2106"/>
      <c r="F24" s="2098"/>
      <c r="G24" s="2041"/>
      <c r="H24" s="2041"/>
      <c r="I24" s="2041"/>
      <c r="J24" s="2041"/>
      <c r="K24" s="2103"/>
      <c r="L24" s="748"/>
      <c r="M24" s="2027"/>
      <c r="N24" s="2078"/>
      <c r="O24" s="2077"/>
      <c r="P24" s="2078"/>
      <c r="Q24" s="2028"/>
      <c r="R24" s="2028"/>
      <c r="S24" s="2028"/>
      <c r="T24" s="2028"/>
      <c r="U24" s="2028"/>
      <c r="V24" s="2028"/>
    </row>
    <row r="25" spans="1:22" ht="18" customHeight="1">
      <c r="A25" s="2104"/>
      <c r="B25" s="183" t="s">
        <v>1817</v>
      </c>
      <c r="C25" s="2105"/>
      <c r="D25" s="2099" t="s">
        <v>1817</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1818</v>
      </c>
      <c r="C26" s="2109"/>
      <c r="D26" s="2110" t="s">
        <v>1819</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2998" t="s">
        <v>1820</v>
      </c>
      <c r="B27" s="2059" t="s">
        <v>1821</v>
      </c>
      <c r="C27" s="2113" t="s">
        <v>3074</v>
      </c>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2998"/>
      <c r="B28" s="2034" t="s">
        <v>1822</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2998"/>
      <c r="B29" s="2034" t="s">
        <v>1823</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2999"/>
      <c r="B30" s="2034" t="s">
        <v>1824</v>
      </c>
      <c r="C30" s="3000"/>
      <c r="D30" s="3001"/>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02" t="s">
        <v>1825</v>
      </c>
      <c r="B31" s="2120" t="s">
        <v>3071</v>
      </c>
      <c r="C31" s="2121" t="str">
        <f>IF(B31="现房","成新及维护状况正常否",IF(B31="在建","工程状态是否正常",IF(B31="土地","是否闲置","-")))</f>
        <v>成新及维护状况正常否</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03"/>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03"/>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7"/>
      <c r="C34" s="2127"/>
      <c r="D34" s="2127"/>
      <c r="E34" s="2127"/>
      <c r="F34" s="2127"/>
      <c r="G34" s="2127"/>
      <c r="H34" s="2127"/>
      <c r="I34" s="2041"/>
      <c r="J34" s="2041"/>
      <c r="K34" s="1795">
        <f>COUNTIF(B34:H34,"——")</f>
        <v>0</v>
      </c>
      <c r="L34" s="2068" t="s">
        <v>1827</v>
      </c>
      <c r="M34" s="2068" t="s">
        <v>1828</v>
      </c>
      <c r="N34" s="2068" t="s">
        <v>1829</v>
      </c>
      <c r="O34" s="2068" t="s">
        <v>1830</v>
      </c>
      <c r="P34" s="2068" t="s">
        <v>1831</v>
      </c>
      <c r="Q34" s="2068" t="s">
        <v>1832</v>
      </c>
      <c r="R34" s="2068" t="s">
        <v>1833</v>
      </c>
      <c r="S34" s="2997" t="s">
        <v>1834</v>
      </c>
      <c r="T34" s="2128" t="str">
        <f>NUMBERSTRING(7-K34,1)&amp;"通"</f>
        <v>七通</v>
      </c>
      <c r="U34" s="2028"/>
      <c r="V34" s="2028"/>
    </row>
    <row r="35" spans="1:22" ht="18" customHeight="1">
      <c r="A35" s="2129"/>
      <c r="B35" s="3004" t="s">
        <v>1835</v>
      </c>
      <c r="C35" s="3004"/>
      <c r="D35" s="3004"/>
      <c r="E35" s="3004"/>
      <c r="F35" s="2130" t="str">
        <f>C10</f>
        <v>上海市黄浦区</v>
      </c>
      <c r="G35" s="2041"/>
      <c r="H35" s="2041"/>
      <c r="I35" s="2041"/>
      <c r="J35" s="2041"/>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8"/>
      <c r="V35" s="2028"/>
    </row>
    <row r="36" spans="1:22" ht="18" customHeight="1">
      <c r="A36" s="2131"/>
      <c r="B36" s="2130" t="s">
        <v>1836</v>
      </c>
      <c r="C36" s="2130" t="s">
        <v>1837</v>
      </c>
      <c r="D36" s="2130" t="s">
        <v>1838</v>
      </c>
      <c r="E36" s="2130" t="s">
        <v>1839</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1840</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1841</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1843</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1844</v>
      </c>
      <c r="B42" s="1795" t="s">
        <v>1845</v>
      </c>
      <c r="C42" s="1795" t="s">
        <v>1846</v>
      </c>
      <c r="D42" s="1795" t="s">
        <v>1847</v>
      </c>
      <c r="E42" s="1795" t="s">
        <v>1848</v>
      </c>
      <c r="F42" s="1795" t="s">
        <v>1849</v>
      </c>
      <c r="G42" s="1795" t="s">
        <v>1850</v>
      </c>
      <c r="H42" s="1795" t="s">
        <v>1851</v>
      </c>
      <c r="I42" s="1795" t="s">
        <v>1852</v>
      </c>
      <c r="J42" s="2146" t="s">
        <v>1853</v>
      </c>
      <c r="K42" s="2069" t="s">
        <v>1854</v>
      </c>
      <c r="L42" s="2069" t="s">
        <v>1855</v>
      </c>
      <c r="M42" s="2069" t="s">
        <v>1856</v>
      </c>
      <c r="N42" s="1795" t="s">
        <v>1857</v>
      </c>
      <c r="O42" s="1795" t="s">
        <v>1858</v>
      </c>
      <c r="P42" s="1795" t="s">
        <v>1859</v>
      </c>
      <c r="Q42" s="2068" t="s">
        <v>1860</v>
      </c>
      <c r="R42" s="2068" t="s">
        <v>1861</v>
      </c>
      <c r="S42" s="2028"/>
      <c r="T42" s="2028"/>
      <c r="U42" s="2028"/>
      <c r="V42" s="2028"/>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1864</v>
      </c>
      <c r="B2" s="11" t="s">
        <v>1865</v>
      </c>
      <c r="C2" s="11" t="s">
        <v>1866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1867</v>
      </c>
      <c r="AZ2" s="1270" t="s">
        <v>1868</v>
      </c>
      <c r="BA2" s="11" t="s">
        <v>1869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10338.94</v>
      </c>
      <c r="C3" s="2162" t="s">
        <v>1870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803"/>
      <c r="C5" s="1803"/>
      <c r="D5" s="1806"/>
      <c r="E5" s="16" t="s">
        <v>1</v>
      </c>
      <c r="F5" s="16">
        <f>SUM(F13:F587)</f>
        <v>0</v>
      </c>
      <c r="G5" s="16">
        <f>SUM(G13:G587)</f>
        <v>10338.94</v>
      </c>
      <c r="H5" s="16">
        <f t="shared" ref="H5:AT5" si="0">SUM(H13:H656)</f>
        <v>10338.94</v>
      </c>
      <c r="I5" s="16">
        <f t="shared" si="0"/>
        <v>10338.94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10338.94</v>
      </c>
      <c r="BA5" s="18">
        <f t="shared" si="1"/>
        <v>10338.94</v>
      </c>
      <c r="BB5" s="18">
        <f t="shared" si="1"/>
        <v>10338.94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1872</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1872</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6"/>
      <c r="AU7" s="2173" t="s">
        <v>1880</v>
      </c>
      <c r="AV7" s="23" t="s">
        <v>1881</v>
      </c>
      <c r="AW7" s="2160" t="s">
        <v>1882</v>
      </c>
      <c r="AX7" s="23" t="s">
        <v>1875</v>
      </c>
      <c r="AY7" s="1803"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8"/>
      <c r="K8" s="1818"/>
      <c r="L8" s="1818"/>
      <c r="M8" s="1818"/>
      <c r="N8" s="1818"/>
      <c r="O8" s="1818"/>
      <c r="P8" s="1818"/>
      <c r="Q8" s="1818"/>
      <c r="R8" s="1818"/>
      <c r="S8" s="1818"/>
      <c r="T8" s="1818"/>
      <c r="U8" s="1818"/>
      <c r="V8" s="2180"/>
      <c r="W8" s="1818"/>
      <c r="X8" s="1818"/>
      <c r="Y8" s="1818"/>
      <c r="Z8" s="1818"/>
      <c r="AA8" s="2180"/>
      <c r="AB8" s="2181"/>
      <c r="AC8" s="981" t="s">
        <v>1886</v>
      </c>
      <c r="AD8" s="2182"/>
      <c r="AE8" s="2174"/>
      <c r="AF8" s="1818"/>
      <c r="AG8" s="1818"/>
      <c r="AH8" s="1818"/>
      <c r="AI8" s="1818"/>
      <c r="AJ8" s="1818"/>
      <c r="AK8" s="1818"/>
      <c r="AL8" s="1818"/>
      <c r="AM8" s="1818"/>
      <c r="AN8" s="1818"/>
      <c r="AO8" s="1818"/>
      <c r="AP8" s="1818"/>
      <c r="AQ8" s="1818"/>
      <c r="AR8" s="1818"/>
      <c r="AS8" s="1818"/>
      <c r="AT8" s="1292" t="s">
        <v>1887</v>
      </c>
      <c r="AU8" s="2176" t="s">
        <v>1888</v>
      </c>
      <c r="AV8" s="1292"/>
      <c r="AW8" s="2159"/>
      <c r="AX8" s="1292"/>
      <c r="AY8" s="2160"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3" customFormat="1" ht="12.75">
      <c r="A9" s="2176"/>
      <c r="B9" s="2176"/>
      <c r="C9" s="2176"/>
      <c r="D9" s="2176"/>
      <c r="E9" s="2176"/>
      <c r="F9" s="2176"/>
      <c r="G9" s="1292"/>
      <c r="H9" s="2184" t="s">
        <v>1891</v>
      </c>
      <c r="I9" s="2185" t="s">
        <v>3056</v>
      </c>
      <c r="J9" s="981"/>
      <c r="K9" s="2185"/>
      <c r="L9" s="981"/>
      <c r="M9" s="2185"/>
      <c r="N9" s="981"/>
      <c r="O9" s="2185"/>
      <c r="P9" s="981"/>
      <c r="Q9" s="2185"/>
      <c r="R9" s="981"/>
      <c r="S9" s="2185"/>
      <c r="T9" s="981"/>
      <c r="U9" s="2185"/>
      <c r="V9" s="981"/>
      <c r="W9" s="2185"/>
      <c r="X9" s="2186"/>
      <c r="Y9" s="2185"/>
      <c r="Z9" s="981"/>
      <c r="AA9" s="2185"/>
      <c r="AB9" s="981"/>
      <c r="AC9" s="2177"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7"/>
      <c r="AT9" s="2176"/>
      <c r="AU9" s="2176" t="s">
        <v>1894</v>
      </c>
      <c r="AV9" s="1292"/>
      <c r="AW9" s="2159"/>
      <c r="AX9" s="1292"/>
      <c r="AY9" s="28"/>
      <c r="AZ9" s="28" t="s">
        <v>1884</v>
      </c>
      <c r="BA9" s="2188" t="s">
        <v>1895</v>
      </c>
      <c r="BB9" s="2189"/>
      <c r="BC9" s="1338"/>
      <c r="BD9" s="1338"/>
      <c r="BE9" s="1338"/>
      <c r="BF9" s="1338"/>
      <c r="BG9" s="1338"/>
      <c r="BH9" s="1338"/>
      <c r="BI9" s="1338"/>
      <c r="BJ9" s="1338"/>
      <c r="BK9" s="2190"/>
      <c r="BL9" s="15" t="s">
        <v>1896</v>
      </c>
      <c r="BM9" s="1818"/>
      <c r="BN9" s="2179"/>
      <c r="BO9" s="1818"/>
      <c r="BP9" s="1818"/>
      <c r="BQ9" s="1818"/>
      <c r="BR9" s="1818"/>
      <c r="BS9" s="1818"/>
      <c r="BT9" s="26"/>
    </row>
    <row r="10" spans="1:72" s="2183" customFormat="1" ht="12.75">
      <c r="A10" s="2176"/>
      <c r="B10" s="2176"/>
      <c r="C10" s="2176"/>
      <c r="D10" s="2176"/>
      <c r="E10" s="2176"/>
      <c r="F10" s="2176"/>
      <c r="G10" s="1292"/>
      <c r="H10" s="28"/>
      <c r="I10" s="2185" t="s">
        <v>1373</v>
      </c>
      <c r="J10" s="981"/>
      <c r="K10" s="2191"/>
      <c r="L10" s="981"/>
      <c r="M10" s="2191"/>
      <c r="N10" s="981"/>
      <c r="O10" s="2191"/>
      <c r="P10" s="981"/>
      <c r="Q10" s="2191"/>
      <c r="R10" s="981"/>
      <c r="S10" s="2191"/>
      <c r="T10" s="981"/>
      <c r="U10" s="2191"/>
      <c r="V10" s="981"/>
      <c r="W10" s="2191"/>
      <c r="X10" s="981"/>
      <c r="Y10" s="2191"/>
      <c r="Z10" s="981"/>
      <c r="AA10" s="2191"/>
      <c r="AB10" s="981"/>
      <c r="AC10" s="1292"/>
      <c r="AD10" s="15" t="s">
        <v>1897</v>
      </c>
      <c r="AE10" s="2192"/>
      <c r="AF10" s="15" t="s">
        <v>1897</v>
      </c>
      <c r="AG10" s="2192"/>
      <c r="AH10" s="15" t="s">
        <v>1898</v>
      </c>
      <c r="AI10" s="2192"/>
      <c r="AJ10" s="15" t="s">
        <v>1898</v>
      </c>
      <c r="AK10" s="2192"/>
      <c r="AL10" s="15" t="s">
        <v>1899</v>
      </c>
      <c r="AM10" s="1298"/>
      <c r="AN10" s="15" t="s">
        <v>1899</v>
      </c>
      <c r="AO10" s="1298"/>
      <c r="AP10" s="15" t="s">
        <v>1900</v>
      </c>
      <c r="AQ10" s="1298"/>
      <c r="AR10" s="15" t="s">
        <v>1900</v>
      </c>
      <c r="AS10" s="1298"/>
      <c r="AT10" s="2176"/>
      <c r="AU10" s="2176"/>
      <c r="AV10" s="1292"/>
      <c r="AW10" s="2159"/>
      <c r="AX10" s="1292"/>
      <c r="AY10" s="28"/>
      <c r="AZ10" s="28"/>
      <c r="BA10" s="2193" t="s">
        <v>1891</v>
      </c>
      <c r="BB10" s="2194"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5" t="str">
        <f>AR9</f>
        <v>地下</v>
      </c>
    </row>
    <row r="11" spans="1:72" s="2183" customFormat="1" ht="12.75">
      <c r="A11" s="2176"/>
      <c r="B11" s="2176"/>
      <c r="C11" s="2176"/>
      <c r="D11" s="2176"/>
      <c r="E11" s="2176"/>
      <c r="F11" s="2176"/>
      <c r="G11" s="1292"/>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1901</v>
      </c>
      <c r="AE11" s="1819"/>
      <c r="AF11" s="2198" t="s">
        <v>1901</v>
      </c>
      <c r="AG11" s="1819"/>
      <c r="AH11" s="2198" t="s">
        <v>1902</v>
      </c>
      <c r="AI11" s="2199"/>
      <c r="AJ11" s="2198" t="s">
        <v>1902</v>
      </c>
      <c r="AK11" s="1819"/>
      <c r="AL11" s="1817"/>
      <c r="AM11" s="1819"/>
      <c r="AN11" s="1817"/>
      <c r="AO11" s="1819"/>
      <c r="AP11" s="1817"/>
      <c r="AQ11" s="1819"/>
      <c r="AR11" s="1817"/>
      <c r="AS11" s="1819"/>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3"/>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0">
        <f>AR11</f>
        <v>0</v>
      </c>
    </row>
    <row r="13" spans="1:72" s="2161" customFormat="1" ht="12.75">
      <c r="A13" s="1272"/>
      <c r="B13" s="1272"/>
      <c r="C13" s="1272"/>
      <c r="D13" s="2207" t="s">
        <v>3055</v>
      </c>
      <c r="E13" s="16">
        <f>IF($C$3="是",ROUND($A$3*G13/$B$3,2),ROUND($A$3*(G13-AT13)/$B$3,2))</f>
        <v>0</v>
      </c>
      <c r="F13" s="32"/>
      <c r="G13" s="33">
        <f>H13+AC13+AT13</f>
        <v>10338.94</v>
      </c>
      <c r="H13" s="20">
        <f>SUMIF(I$12:AB$12,"总值",I13:AB13)</f>
        <v>10338.94</v>
      </c>
      <c r="I13" s="2208">
        <v>10338.94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6">
        <f>ROUND($AY$6*AZ13/$AZ$5,2)</f>
        <v>0</v>
      </c>
      <c r="AZ13" s="16">
        <f>BA13+BL13</f>
        <v>10338.94</v>
      </c>
      <c r="BA13" s="16">
        <f>SUM(BB13:BK13)</f>
        <v>10338.94</v>
      </c>
      <c r="BB13" s="16">
        <f>IF($D13="是",I13-J13,0)</f>
        <v>10338.94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92"/>
      <c r="C1" s="1392"/>
      <c r="D1" s="1392"/>
      <c r="E1" s="1392"/>
      <c r="F1" s="1392"/>
      <c r="G1" s="1392"/>
      <c r="H1" s="1392"/>
      <c r="I1" s="1392"/>
      <c r="J1" s="1392"/>
      <c r="K1" s="1392"/>
      <c r="L1" s="1392"/>
      <c r="M1" s="1392"/>
      <c r="N1" s="1392"/>
      <c r="O1" s="1392"/>
      <c r="P1" s="1392"/>
    </row>
    <row r="2" spans="1:16" ht="15">
      <c r="A2" s="3037" t="s">
        <v>1931</v>
      </c>
      <c r="B2" s="3037"/>
      <c r="C2" s="3037"/>
      <c r="D2" s="967" t="s">
        <v>1907</v>
      </c>
      <c r="E2" s="2221" t="s">
        <v>1908</v>
      </c>
      <c r="F2" s="1392"/>
      <c r="G2" s="2222"/>
      <c r="H2" s="2223"/>
      <c r="I2" s="2224" t="s">
        <v>1932</v>
      </c>
      <c r="J2" s="1392"/>
      <c r="K2" s="1392"/>
      <c r="L2" s="1392"/>
      <c r="M2" s="1392"/>
      <c r="N2" s="1427"/>
      <c r="O2" s="1392"/>
      <c r="P2" s="1392"/>
    </row>
    <row r="3" spans="1:16" ht="15.75" thickBot="1">
      <c r="A3" s="3038" t="s">
        <v>1905</v>
      </c>
      <c r="B3" s="3038"/>
      <c r="C3" s="3038"/>
      <c r="D3" s="46">
        <f>'数据-基础表'!AY6</f>
        <v>0</v>
      </c>
      <c r="E3" s="46">
        <f>'数据-基础表'!AZ5</f>
        <v>10338.94</v>
      </c>
      <c r="F3" s="1392"/>
      <c r="G3" s="1399"/>
      <c r="H3" s="1247" t="s">
        <v>1906</v>
      </c>
      <c r="I3" s="55" t="e">
        <f>ROUND('数据-基础表'!B3/'数据-基础表'!A3,2)</f>
        <v>#DIV/0!</v>
      </c>
      <c r="J3" s="1392"/>
      <c r="K3" s="1392"/>
      <c r="L3" s="1392"/>
      <c r="M3" s="1392"/>
      <c r="N3" s="1427"/>
      <c r="O3" s="1392"/>
      <c r="P3" s="1392"/>
    </row>
    <row r="4" spans="1:16" ht="15">
      <c r="A4" s="3039"/>
      <c r="B4" s="3040"/>
      <c r="C4" s="3041"/>
      <c r="D4" s="2225" t="s">
        <v>1907</v>
      </c>
      <c r="E4" s="2226" t="s">
        <v>1908</v>
      </c>
      <c r="F4" s="1392"/>
      <c r="G4" s="2227" t="s">
        <v>1933</v>
      </c>
      <c r="H4" s="1247" t="s">
        <v>1913</v>
      </c>
      <c r="I4" s="55" t="e">
        <f>ROUND(SUMIF('数据-基础表'!I9:AS9,"地上",'数据-基础表'!I5:AS5)/'数据-基础表'!A3,2)</f>
        <v>#DIV/0!</v>
      </c>
      <c r="J4" s="1392"/>
      <c r="K4" s="1392"/>
      <c r="L4" s="1392"/>
      <c r="M4" s="1392"/>
      <c r="N4" s="1427"/>
      <c r="O4" s="1392"/>
      <c r="P4" s="1392"/>
    </row>
    <row r="5" spans="1:16">
      <c r="A5" s="47" t="s">
        <v>1909</v>
      </c>
      <c r="B5" s="3042" t="s">
        <v>1910</v>
      </c>
      <c r="C5" s="3042"/>
      <c r="D5" s="48">
        <f>ROUND($D$3*E5/$E$3,2)</f>
        <v>0</v>
      </c>
      <c r="E5" s="49">
        <f>SUMIF('数据-基础表'!$11:$11,"住宅",'数据-基础表'!$5:$5)</f>
        <v>0</v>
      </c>
      <c r="F5" s="1392"/>
      <c r="G5" s="1399"/>
      <c r="H5" s="1247" t="s">
        <v>1906</v>
      </c>
      <c r="I5" s="55" t="e">
        <f>ROUND(E31/D31,2)</f>
        <v>#DIV/0!</v>
      </c>
      <c r="J5" s="1392"/>
      <c r="K5" s="1392"/>
      <c r="L5" s="1392"/>
      <c r="M5" s="1392"/>
      <c r="N5" s="1392"/>
      <c r="O5" s="1392"/>
      <c r="P5" s="1392"/>
    </row>
    <row r="6" spans="1:16" ht="15" thickBot="1">
      <c r="A6" s="2228"/>
      <c r="B6" s="3042" t="s">
        <v>1911</v>
      </c>
      <c r="C6" s="3042"/>
      <c r="D6" s="48">
        <f>ROUND($D$3*E6/$E$3,2)</f>
        <v>0</v>
      </c>
      <c r="E6" s="49">
        <f>E3-E5</f>
        <v>10338.94</v>
      </c>
      <c r="F6" s="1392"/>
      <c r="G6" s="2229" t="s">
        <v>1912</v>
      </c>
      <c r="H6" s="1399" t="s">
        <v>1913</v>
      </c>
      <c r="I6" s="939" t="e">
        <f>ROUND(F31/D31,2)</f>
        <v>#DIV/0!</v>
      </c>
      <c r="J6" s="1392"/>
      <c r="K6" s="1392"/>
      <c r="L6" s="1392"/>
      <c r="M6" s="1392"/>
      <c r="N6" s="1392"/>
      <c r="O6" s="1392"/>
      <c r="P6" s="1392"/>
    </row>
    <row r="7" spans="1:16" ht="15">
      <c r="A7" s="3034"/>
      <c r="B7" s="3035"/>
      <c r="C7" s="3036"/>
      <c r="D7" s="2225" t="s">
        <v>1907</v>
      </c>
      <c r="E7" s="2230" t="s">
        <v>1914</v>
      </c>
      <c r="F7" s="1392"/>
      <c r="G7" s="2222" t="s">
        <v>1915</v>
      </c>
      <c r="H7" s="64"/>
      <c r="I7" s="420"/>
      <c r="J7" s="1392"/>
      <c r="K7" s="1392"/>
      <c r="L7" s="1392"/>
      <c r="M7" s="1392"/>
      <c r="N7" s="1392"/>
      <c r="O7" s="1392"/>
      <c r="P7" s="1392"/>
    </row>
    <row r="8" spans="1:16">
      <c r="A8" s="47" t="s">
        <v>1916</v>
      </c>
      <c r="B8" s="50" t="s">
        <v>1917</v>
      </c>
      <c r="C8" s="48" t="s">
        <v>1918</v>
      </c>
      <c r="D8" s="48">
        <f t="shared" ref="D8:D15" si="0">ROUND($D$3*E8/$E$3,2)</f>
        <v>0</v>
      </c>
      <c r="E8" s="51">
        <f>SUMIF('数据-基础表'!BB10:BK10,"地上",'数据-基础表'!BB5:BK5)</f>
        <v>10338.94</v>
      </c>
      <c r="F8" s="1392"/>
      <c r="G8" s="2231"/>
      <c r="H8" s="2231"/>
      <c r="I8" s="1392"/>
      <c r="J8" s="1392"/>
      <c r="K8" s="1392"/>
      <c r="L8" s="1392"/>
      <c r="M8" s="1392"/>
      <c r="N8" s="1392"/>
      <c r="O8" s="1392"/>
      <c r="P8" s="1392"/>
    </row>
    <row r="9" spans="1:16">
      <c r="A9" s="2232"/>
      <c r="B9" s="2233"/>
      <c r="C9" s="48" t="s">
        <v>1919</v>
      </c>
      <c r="D9" s="48">
        <f t="shared" si="0"/>
        <v>0</v>
      </c>
      <c r="E9" s="52">
        <v>0</v>
      </c>
      <c r="F9" s="1392"/>
      <c r="G9" s="2231"/>
      <c r="H9" s="2231"/>
      <c r="I9" s="1392"/>
      <c r="J9" s="1392"/>
      <c r="K9" s="1392"/>
      <c r="L9" s="1392"/>
      <c r="M9" s="1392"/>
      <c r="N9" s="1392"/>
      <c r="O9" s="1392"/>
      <c r="P9" s="1392"/>
    </row>
    <row r="10" spans="1:16">
      <c r="A10" s="2232"/>
      <c r="B10" s="2233"/>
      <c r="C10" s="48" t="s">
        <v>1928</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1920</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1921</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1922</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1934</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1929</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1923</v>
      </c>
      <c r="D16" s="50">
        <f>SUM(D8:D15)</f>
        <v>0</v>
      </c>
      <c r="E16" s="53">
        <f>SUM(E8:E15)</f>
        <v>10338.94</v>
      </c>
      <c r="F16" s="1392"/>
      <c r="G16" s="2231"/>
      <c r="H16" s="2234" t="s">
        <v>1935</v>
      </c>
      <c r="I16" s="2235"/>
      <c r="J16" s="1392"/>
      <c r="K16" s="3031" t="s">
        <v>1935</v>
      </c>
      <c r="L16" s="3032"/>
      <c r="M16" s="3032"/>
      <c r="N16" s="3032"/>
      <c r="O16" s="3032"/>
      <c r="P16" s="3033"/>
    </row>
    <row r="17" spans="1:19" ht="15">
      <c r="A17" s="2236" t="s">
        <v>1936</v>
      </c>
      <c r="B17" s="2237" t="s">
        <v>1937</v>
      </c>
      <c r="C17" s="2238" t="s">
        <v>1938</v>
      </c>
      <c r="D17" s="2239" t="s">
        <v>1926</v>
      </c>
      <c r="E17" s="2240" t="s">
        <v>1927</v>
      </c>
      <c r="F17" s="2241"/>
      <c r="G17" s="2242"/>
      <c r="H17" s="2243" t="s">
        <v>1939</v>
      </c>
      <c r="I17" s="2244" t="s">
        <v>1924</v>
      </c>
      <c r="J17" s="1392"/>
      <c r="K17" s="3028" t="s">
        <v>1940</v>
      </c>
      <c r="L17" s="3029"/>
      <c r="M17" s="3030"/>
      <c r="N17" s="3028" t="s">
        <v>1941</v>
      </c>
      <c r="O17" s="3029"/>
      <c r="P17" s="3030"/>
      <c r="R17" s="2222" t="s">
        <v>1942</v>
      </c>
      <c r="S17" s="64"/>
    </row>
    <row r="18" spans="1:19" ht="15">
      <c r="A18" s="2232"/>
      <c r="B18" s="2245"/>
      <c r="C18" s="2246"/>
      <c r="D18" s="2247"/>
      <c r="E18" s="2248" t="s">
        <v>1943</v>
      </c>
      <c r="F18" s="2249" t="s">
        <v>1944</v>
      </c>
      <c r="G18" s="2250" t="s">
        <v>1945</v>
      </c>
      <c r="H18" s="1262" t="s">
        <v>1946</v>
      </c>
      <c r="I18" s="2251" t="s">
        <v>1947</v>
      </c>
      <c r="J18" s="1392"/>
      <c r="K18" s="1262" t="s">
        <v>1948</v>
      </c>
      <c r="L18" s="2252" t="s">
        <v>1949</v>
      </c>
      <c r="M18" s="1046" t="s">
        <v>1950</v>
      </c>
      <c r="N18" s="1262" t="s">
        <v>1948</v>
      </c>
      <c r="O18" s="2252" t="s">
        <v>1949</v>
      </c>
      <c r="P18" s="1046" t="s">
        <v>1950</v>
      </c>
      <c r="R18" s="1247" t="s">
        <v>1951</v>
      </c>
      <c r="S18" s="1247" t="s">
        <v>1952</v>
      </c>
    </row>
    <row r="19" spans="1:19">
      <c r="A19" s="2253"/>
      <c r="B19" s="50" t="s">
        <v>1925</v>
      </c>
      <c r="C19" s="2952" t="s">
        <v>3057</v>
      </c>
      <c r="D19" s="48">
        <f>ROUND($D$3*E19/$E$3,2)</f>
        <v>0</v>
      </c>
      <c r="E19" s="56">
        <f t="shared" ref="E19:E26" si="1">SUM(F19:G19)</f>
        <v>10338.94</v>
      </c>
      <c r="F19" s="57">
        <f>'数据-基础表'!B3</f>
        <v>10338.94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10338.94</v>
      </c>
    </row>
    <row r="20" spans="1:19">
      <c r="A20" s="2257"/>
      <c r="B20" s="50" t="s">
        <v>1953</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c r="A21" s="2257"/>
      <c r="B21" s="50" t="s">
        <v>1953</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1954</v>
      </c>
      <c r="D27" s="1393">
        <f>SUM(D19:D26)</f>
        <v>0</v>
      </c>
      <c r="E27" s="1394">
        <f>IF(SUM(E19:E26)='数据-基础表'!BA5,SUM(E19:E26),IF(F27="地上面积有误","面积有误","地下面积有误"))</f>
        <v>10338.94</v>
      </c>
      <c r="F27" s="1393">
        <f>IF(SUM(F19:F26)=E8,SUM(F19:F26),"地上面积有误")</f>
        <v>10338.94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10338.94</v>
      </c>
    </row>
    <row r="28" spans="1:19">
      <c r="A28" s="2257"/>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1955</v>
      </c>
      <c r="C29" s="2261"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1958</v>
      </c>
      <c r="D31" s="729">
        <f>D27+D30</f>
        <v>0</v>
      </c>
      <c r="E31" s="729">
        <f>E27+E30</f>
        <v>10338.94</v>
      </c>
      <c r="F31" s="730">
        <f>F27+F30</f>
        <v>10338.94</v>
      </c>
      <c r="G31" s="731">
        <f>G27+G30</f>
        <v>0</v>
      </c>
      <c r="H31" s="1392"/>
      <c r="I31" s="1392"/>
      <c r="J31" s="1392"/>
      <c r="K31" s="1392"/>
      <c r="L31" s="1392"/>
      <c r="M31" s="1392"/>
      <c r="N31" s="1392"/>
      <c r="O31" s="1392"/>
      <c r="P31" s="1392"/>
    </row>
    <row r="32" spans="1:19">
      <c r="A32" s="2227"/>
      <c r="B32" s="2227" t="s">
        <v>1959</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1960</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0" t="s">
        <v>1961</v>
      </c>
      <c r="B2" s="1266">
        <f>项目基本情况!D3</f>
        <v>43754</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8" t="s">
        <v>1966</v>
      </c>
      <c r="AA4" s="2238"/>
      <c r="AB4" s="2238"/>
      <c r="AC4" s="2238"/>
      <c r="AD4" s="2238"/>
      <c r="AE4" s="2236" t="s">
        <v>1967</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1968</v>
      </c>
      <c r="B5" s="2284" t="s">
        <v>1969</v>
      </c>
      <c r="C5" s="2285" t="s">
        <v>1970</v>
      </c>
      <c r="D5" s="2286" t="s">
        <v>1971</v>
      </c>
      <c r="E5" s="1268" t="s">
        <v>1972</v>
      </c>
      <c r="F5" s="2287" t="s">
        <v>1973</v>
      </c>
      <c r="G5" s="1268" t="s">
        <v>1974</v>
      </c>
      <c r="H5" s="1268" t="s">
        <v>1975</v>
      </c>
      <c r="I5" s="1268" t="s">
        <v>1976</v>
      </c>
      <c r="J5" s="2288" t="s">
        <v>1977</v>
      </c>
      <c r="K5" s="2289" t="s">
        <v>1978</v>
      </c>
      <c r="L5" s="2290" t="s">
        <v>1979</v>
      </c>
      <c r="M5" s="2291" t="s">
        <v>1980</v>
      </c>
      <c r="N5" s="2292" t="s">
        <v>3058</v>
      </c>
      <c r="O5" s="2290" t="s">
        <v>1981</v>
      </c>
      <c r="P5" s="2293" t="s">
        <v>1982</v>
      </c>
      <c r="Q5" s="69" t="s">
        <v>1983</v>
      </c>
      <c r="R5" s="2294" t="s">
        <v>1984</v>
      </c>
      <c r="S5" s="2295" t="s">
        <v>1985</v>
      </c>
      <c r="T5" s="2296" t="s">
        <v>1986</v>
      </c>
      <c r="U5" s="1267" t="s">
        <v>1987</v>
      </c>
      <c r="V5" s="1268" t="s">
        <v>1988</v>
      </c>
      <c r="W5" s="1268" t="s">
        <v>1989</v>
      </c>
      <c r="X5" s="71"/>
      <c r="Y5" s="70" t="s">
        <v>1990</v>
      </c>
      <c r="Z5" s="2297" t="s">
        <v>1987</v>
      </c>
      <c r="AA5" s="1268" t="s">
        <v>1988</v>
      </c>
      <c r="AB5" s="1268" t="s">
        <v>1989</v>
      </c>
      <c r="AC5" s="71"/>
      <c r="AD5" s="71" t="s">
        <v>1990</v>
      </c>
      <c r="AE5" s="1267" t="s">
        <v>1991</v>
      </c>
      <c r="AF5" s="1268" t="s">
        <v>1992</v>
      </c>
      <c r="AG5" s="70" t="s">
        <v>1993</v>
      </c>
      <c r="AH5" s="1267" t="s">
        <v>1994</v>
      </c>
      <c r="AI5" s="2297" t="s">
        <v>1995</v>
      </c>
      <c r="AJ5" s="2297" t="s">
        <v>1996</v>
      </c>
      <c r="AK5" s="1268" t="s">
        <v>1997</v>
      </c>
      <c r="AL5" s="1268" t="s">
        <v>1998</v>
      </c>
      <c r="AM5" s="70" t="s">
        <v>1999</v>
      </c>
      <c r="AN5" s="2298" t="s">
        <v>2000</v>
      </c>
      <c r="AO5" s="2068" t="s">
        <v>2001</v>
      </c>
      <c r="AP5" s="1249" t="s">
        <v>2002</v>
      </c>
      <c r="AQ5" s="2299" t="s">
        <v>2003</v>
      </c>
      <c r="AR5" s="2299" t="s">
        <v>2004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1373</v>
      </c>
      <c r="D6" s="1051">
        <f>SUMIF(项目基本情况!D$12:I$12,C6,项目基本情况!D$14:I$14)</f>
        <v>40</v>
      </c>
      <c r="E6" s="1048">
        <f>IF(B6="","",SUMIF(项目基本情况!D$12:I$12,C6,项目基本情况!D$13:I$13))</f>
        <v>49644</v>
      </c>
      <c r="F6" s="72">
        <f>SUMIF(项目基本情况!D$12:I$12,C6,项目基本情况!D$15:I$15)</f>
        <v>16.13</v>
      </c>
      <c r="G6" s="73">
        <f>IF(ISERROR(ROUND(POWER(1+H6,D6-F6)*(POWER(1+H6,F6)-1)/(POWER(1+H6,D6)-1),3)),0,ROUND(POWER(1+H6,D6-F6)*(POWER(1+H6,F6)-1)/(POWER(1+H6,D6)-1),3))</f>
        <v>0.63500000000000001</v>
      </c>
      <c r="H6" s="802">
        <v>0.05</v>
      </c>
      <c r="I6" s="802">
        <v>5.5E-2</v>
      </c>
      <c r="J6" s="74">
        <v>8.5000000000000006E-2</v>
      </c>
      <c r="K6" s="1251">
        <f>SUMIF('数据-汇总表'!C$19:C$33,A6,'数据-汇总表'!E$19:E$33)</f>
        <v>10338.94</v>
      </c>
      <c r="L6" s="803">
        <v>3800</v>
      </c>
      <c r="M6" s="75">
        <f t="shared" ref="M6:M14" si="0">ROUND(K6*L6/10000,0)</f>
        <v>3929</v>
      </c>
      <c r="N6" s="801">
        <v>0.7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5.09</v>
      </c>
      <c r="V6" s="79">
        <v>0.06</v>
      </c>
      <c r="W6" s="79">
        <v>0</v>
      </c>
      <c r="X6" s="1261"/>
      <c r="Y6" s="80">
        <v>0.7</v>
      </c>
      <c r="Z6" s="81">
        <v>8.5</v>
      </c>
      <c r="AA6" s="74">
        <v>0.05</v>
      </c>
      <c r="AB6" s="74">
        <v>0.05</v>
      </c>
      <c r="AC6" s="1261"/>
      <c r="AD6" s="82">
        <v>0.65</v>
      </c>
      <c r="AE6" s="1262">
        <f ca="1">IF(AN6="",0,SUMIF(INDIRECT("'"&amp;AN6&amp;"'"&amp;"!E:E"),$AE$5,INDIRECT("'"&amp;AN6&amp;"'"&amp;"!F:F")))</f>
        <v>16.13</v>
      </c>
      <c r="AF6" s="1804">
        <v>10</v>
      </c>
      <c r="AG6" s="147">
        <f ca="1">IF(AF6="",0,AE6-AF6)</f>
        <v>6.129999999999999</v>
      </c>
      <c r="AH6" s="83"/>
      <c r="AI6" s="85">
        <v>365</v>
      </c>
      <c r="AJ6" s="86"/>
      <c r="AK6" s="87">
        <v>0.02</v>
      </c>
      <c r="AL6" s="88">
        <v>0.01</v>
      </c>
      <c r="AM6" s="89">
        <v>0.02</v>
      </c>
      <c r="AN6" s="2303" t="s">
        <v>3059</v>
      </c>
      <c r="AO6" s="55">
        <f ca="1">SUMIF(INDIRECT("'"&amp;AN6&amp;"'"&amp;"!A:A"),"总价",INDIRECT("'"&amp;AN6&amp;"'"&amp;"!B:B"))</f>
        <v>21617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2005</v>
      </c>
      <c r="B14" s="2301" t="s">
        <v>2006</v>
      </c>
      <c r="C14" s="2306"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2007</v>
      </c>
      <c r="B15" s="2301" t="s">
        <v>2006</v>
      </c>
      <c r="C15" s="2306"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2009</v>
      </c>
      <c r="B16" s="97"/>
      <c r="C16" s="1005"/>
      <c r="D16" s="2308"/>
      <c r="E16" s="97"/>
      <c r="F16" s="97"/>
      <c r="G16" s="98">
        <f>ROUND(SUMPRODUCT(G6:G13,K6:K13)/SUMPRODUCT((G6:G13&gt;0)*(K6:K13)),3)</f>
        <v>0.63500000000000001</v>
      </c>
      <c r="H16" s="99">
        <f>ROUND(SUMPRODUCT(H6:H13,K6:K13)/SUMPRODUCT((H6:H13&gt;0)*(K6:K13)),3)</f>
        <v>0.05</v>
      </c>
      <c r="I16" s="100"/>
      <c r="J16" s="100"/>
      <c r="K16" s="101">
        <f>SUM(K6:K15)</f>
        <v>10338.94</v>
      </c>
      <c r="L16" s="102">
        <f>ROUND(M16*10000/SUM(K6:K14),0)</f>
        <v>3800</v>
      </c>
      <c r="M16" s="102">
        <f>SUM(M6:M14)</f>
        <v>3929</v>
      </c>
      <c r="N16" s="103">
        <f>ROUND(SUMPRODUCT(M6:M14,N6:N14)/M16,3)</f>
        <v>0.7</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2011</v>
      </c>
      <c r="B19" s="112">
        <v>0</v>
      </c>
      <c r="C19" s="2271" t="s">
        <v>2012</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2013</v>
      </c>
      <c r="B20" s="113">
        <v>2</v>
      </c>
      <c r="C20" s="2271" t="s">
        <v>2014</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2015</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2016</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2017</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2018</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2019</v>
      </c>
      <c r="B26" s="2314" t="s">
        <v>2020</v>
      </c>
      <c r="C26" s="2315" t="s">
        <v>2021</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2022</v>
      </c>
      <c r="B27" s="116"/>
      <c r="C27" s="1764" t="s">
        <v>2023</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2024</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2025</v>
      </c>
      <c r="B29" s="121"/>
      <c r="C29" s="1764" t="s">
        <v>2026</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2027</v>
      </c>
      <c r="B30" s="724"/>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2028</v>
      </c>
      <c r="B31" s="120">
        <f>B30-B32</f>
        <v>0</v>
      </c>
      <c r="C31" s="1764"/>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2029</v>
      </c>
      <c r="B32" s="725"/>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2030</v>
      </c>
      <c r="B33" s="726">
        <v>0.03</v>
      </c>
      <c r="C33" s="1763" t="s">
        <v>2031</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2032</v>
      </c>
      <c r="B34" s="122"/>
      <c r="C34" s="1763" t="s">
        <v>2033</v>
      </c>
      <c r="D34" s="2272" t="s">
        <v>2034</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2035</v>
      </c>
      <c r="B35" s="119">
        <v>200</v>
      </c>
      <c r="C35" s="1763" t="s">
        <v>2036</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2037</v>
      </c>
      <c r="B36" s="123">
        <v>1.4999999999999999E-2</v>
      </c>
      <c r="C36" s="1763" t="s">
        <v>2038</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2039</v>
      </c>
      <c r="B37" s="124">
        <v>0.02</v>
      </c>
      <c r="C37" s="1763" t="s">
        <v>2040</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2041</v>
      </c>
      <c r="B38" s="122">
        <v>0.02</v>
      </c>
      <c r="C38" s="1763" t="s">
        <v>2040</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2042</v>
      </c>
      <c r="B39" s="362">
        <f ca="1">存贷款利率!I1</f>
        <v>1.4999999999999999E-2</v>
      </c>
      <c r="C39" s="1763"/>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2043</v>
      </c>
      <c r="B40" s="1300">
        <f ca="1">存贷款利率!G1</f>
        <v>4.7500000000000001E-2</v>
      </c>
      <c r="C40" s="1763" t="s">
        <v>2044</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2045</v>
      </c>
      <c r="B41" s="125">
        <f>B42+B43</f>
        <v>5.6000000000000001E-2</v>
      </c>
      <c r="C41" s="1764"/>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2046</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2047</v>
      </c>
      <c r="B43" s="127">
        <f>B42*(B44+B45+B46)+B47</f>
        <v>6.000000000000001E-3</v>
      </c>
      <c r="C43" s="1764"/>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2048</v>
      </c>
      <c r="B44" s="128">
        <v>7.0000000000000007E-2</v>
      </c>
      <c r="C44" s="1763" t="s">
        <v>2049</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2050</v>
      </c>
      <c r="B45" s="126">
        <v>0.03</v>
      </c>
      <c r="C45" s="1764" t="s">
        <v>2051</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2052</v>
      </c>
      <c r="B46" s="126">
        <v>0.02</v>
      </c>
      <c r="C46" s="1764" t="s">
        <v>2053</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2054</v>
      </c>
      <c r="B47" s="129"/>
      <c r="C47" s="1764" t="s">
        <v>2055</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2056</v>
      </c>
      <c r="B48" s="130">
        <v>0.03</v>
      </c>
      <c r="C48" s="1771" t="s">
        <v>2057</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2058</v>
      </c>
      <c r="B49" s="126">
        <v>5.0000000000000001E-4</v>
      </c>
      <c r="C49" s="1771" t="s">
        <v>2059</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2060</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2061</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2062</v>
      </c>
      <c r="B52" s="133">
        <f>SUMIF(A54:A63,B53,B54:B63)</f>
        <v>0</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2063</v>
      </c>
      <c r="B53" s="2330" t="s">
        <v>212</v>
      </c>
      <c r="C53" s="1427" t="s">
        <v>2064</v>
      </c>
      <c r="D53" s="2331" t="s">
        <v>2065</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2066</v>
      </c>
      <c r="B54" s="84"/>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2067</v>
      </c>
      <c r="B55" s="84"/>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2068</v>
      </c>
      <c r="B56" s="84"/>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2069</v>
      </c>
      <c r="B57" s="84"/>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2070</v>
      </c>
      <c r="B58" s="84"/>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2071</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2072</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2073</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2074</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2075</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43" t="s">
        <v>2076</v>
      </c>
      <c r="B1" s="3044"/>
      <c r="C1" s="3044"/>
      <c r="D1" s="3044"/>
      <c r="E1" s="3044"/>
      <c r="F1" s="3044"/>
      <c r="G1" s="304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2077</v>
      </c>
      <c r="D2" s="2360"/>
      <c r="E2" s="2361"/>
      <c r="F2" s="2280"/>
      <c r="G2" s="2359" t="s">
        <v>2078</v>
      </c>
      <c r="H2" s="2362"/>
      <c r="I2" s="2362"/>
      <c r="J2" s="2362"/>
      <c r="K2" s="2362"/>
      <c r="L2" s="2362"/>
      <c r="M2" s="2362"/>
      <c r="N2" s="2362"/>
      <c r="O2" s="2362"/>
      <c r="P2" s="2362"/>
      <c r="Q2" s="2362"/>
      <c r="R2" s="2362"/>
    </row>
    <row r="3" spans="1:29" ht="54">
      <c r="A3" s="415" t="s">
        <v>2079</v>
      </c>
      <c r="B3" s="1268" t="s">
        <v>2080</v>
      </c>
      <c r="C3" s="2364" t="s">
        <v>2081</v>
      </c>
      <c r="D3" s="2365"/>
      <c r="E3" s="431" t="s">
        <v>2079</v>
      </c>
      <c r="F3" s="2366" t="s">
        <v>2082</v>
      </c>
      <c r="G3" s="2367" t="s">
        <v>2083</v>
      </c>
      <c r="H3" s="2362"/>
      <c r="I3" s="2362"/>
      <c r="J3" s="2362"/>
      <c r="K3" s="2362"/>
      <c r="L3" s="2362"/>
      <c r="M3" s="2362"/>
      <c r="N3" s="2362"/>
      <c r="O3" s="2362"/>
      <c r="P3" s="2362"/>
      <c r="Q3" s="2362"/>
      <c r="R3" s="2362"/>
    </row>
    <row r="4" spans="1:29" ht="41.25">
      <c r="A4" s="431"/>
      <c r="B4" s="1795" t="s">
        <v>2084</v>
      </c>
      <c r="C4" s="2368" t="s">
        <v>2085</v>
      </c>
      <c r="D4" s="2365"/>
      <c r="E4" s="2369"/>
      <c r="F4" s="42" t="s">
        <v>2086</v>
      </c>
      <c r="G4" s="2370" t="s">
        <v>2087</v>
      </c>
      <c r="H4" s="2362"/>
      <c r="I4" s="2362"/>
      <c r="J4" s="2362"/>
      <c r="K4" s="2362"/>
      <c r="L4" s="2362"/>
      <c r="M4" s="2362"/>
      <c r="N4" s="2362"/>
      <c r="O4" s="2362"/>
      <c r="P4" s="2362"/>
      <c r="Q4" s="2362"/>
      <c r="R4" s="2362"/>
    </row>
    <row r="5" spans="1:29" ht="41.25">
      <c r="A5" s="431"/>
      <c r="B5" s="1795" t="s">
        <v>2088</v>
      </c>
      <c r="C5" s="2368" t="s">
        <v>2089</v>
      </c>
      <c r="D5" s="2365"/>
      <c r="E5" s="2369"/>
      <c r="F5" s="1795" t="s">
        <v>2090</v>
      </c>
      <c r="G5" s="2370" t="s">
        <v>2091</v>
      </c>
      <c r="H5" s="2362"/>
      <c r="I5" s="2362"/>
      <c r="J5" s="2362"/>
      <c r="K5" s="2362"/>
      <c r="L5" s="2362"/>
      <c r="M5" s="2362"/>
      <c r="N5" s="2362"/>
      <c r="O5" s="2362"/>
      <c r="P5" s="2362"/>
      <c r="Q5" s="2362"/>
      <c r="R5" s="2362"/>
    </row>
    <row r="6" spans="1:29" ht="54">
      <c r="A6" s="431"/>
      <c r="B6" s="1795" t="s">
        <v>2092</v>
      </c>
      <c r="C6" s="2370" t="s">
        <v>2087</v>
      </c>
      <c r="D6" s="2365"/>
      <c r="E6" s="2369"/>
      <c r="F6" s="1795" t="s">
        <v>2093</v>
      </c>
      <c r="G6" s="2370" t="s">
        <v>2094</v>
      </c>
      <c r="H6" s="2362"/>
      <c r="I6" s="2362"/>
      <c r="J6" s="2362"/>
      <c r="K6" s="2362"/>
      <c r="L6" s="2362"/>
      <c r="M6" s="2362"/>
      <c r="N6" s="2362"/>
      <c r="O6" s="2362"/>
      <c r="P6" s="2362"/>
      <c r="Q6" s="2362"/>
      <c r="R6" s="2362"/>
    </row>
    <row r="7" spans="1:29" ht="41.25" thickBot="1">
      <c r="A7" s="431"/>
      <c r="B7" s="1795" t="s">
        <v>2090</v>
      </c>
      <c r="C7" s="2370" t="s">
        <v>2091</v>
      </c>
      <c r="D7" s="2371"/>
      <c r="E7" s="2372"/>
      <c r="F7" s="2373" t="s">
        <v>2095</v>
      </c>
      <c r="G7" s="2374" t="s">
        <v>2096</v>
      </c>
      <c r="H7" s="2362"/>
      <c r="I7" s="2362"/>
      <c r="J7" s="2362"/>
      <c r="K7" s="2362"/>
      <c r="L7" s="2362"/>
      <c r="M7" s="2362"/>
      <c r="N7" s="2362"/>
      <c r="O7" s="2362"/>
      <c r="P7" s="2362"/>
      <c r="Q7" s="2362"/>
      <c r="R7" s="2362"/>
    </row>
    <row r="8" spans="1:29" ht="27">
      <c r="A8" s="431"/>
      <c r="B8" s="1795" t="s">
        <v>2093</v>
      </c>
      <c r="C8" s="2370" t="s">
        <v>2094</v>
      </c>
      <c r="D8" s="2371"/>
      <c r="E8" s="2371"/>
      <c r="F8" s="1133"/>
      <c r="G8" s="1133"/>
      <c r="H8" s="2362"/>
      <c r="I8" s="2362"/>
      <c r="J8" s="2362"/>
      <c r="K8" s="2362"/>
      <c r="L8" s="2362"/>
      <c r="M8" s="2362"/>
      <c r="N8" s="2362"/>
      <c r="O8" s="2362"/>
      <c r="P8" s="2362"/>
      <c r="Q8" s="2362"/>
      <c r="R8" s="2362"/>
    </row>
    <row r="9" spans="1:29" ht="27">
      <c r="A9" s="431"/>
      <c r="B9" s="1795" t="s">
        <v>2097</v>
      </c>
      <c r="C9" s="2368" t="s">
        <v>2098</v>
      </c>
      <c r="D9" s="2365"/>
      <c r="E9" s="2371"/>
      <c r="F9" s="1133"/>
      <c r="G9" s="1133"/>
      <c r="H9" s="2362"/>
      <c r="I9" s="2362"/>
      <c r="J9" s="2362"/>
      <c r="K9" s="2362"/>
      <c r="L9" s="2362"/>
      <c r="M9" s="2362"/>
      <c r="N9" s="2362"/>
      <c r="O9" s="2362"/>
      <c r="P9" s="2362"/>
      <c r="Q9" s="2362"/>
      <c r="R9" s="2362"/>
    </row>
    <row r="10" spans="1:29" s="117" customFormat="1" ht="15.75" thickBot="1">
      <c r="A10" s="2375"/>
      <c r="B10" s="2376" t="s">
        <v>2099</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2100</v>
      </c>
      <c r="B13" s="2382"/>
      <c r="C13" s="2382"/>
      <c r="D13" s="2389"/>
      <c r="E13" s="2382"/>
      <c r="F13" s="2382"/>
      <c r="G13" s="2382"/>
    </row>
    <row r="14" spans="1:29" ht="15.75" thickBot="1">
      <c r="A14" s="2393"/>
      <c r="B14" s="2394"/>
      <c r="C14" s="2395" t="s">
        <v>2101</v>
      </c>
      <c r="D14" s="2365"/>
      <c r="E14" s="2396"/>
      <c r="F14" s="2396"/>
      <c r="G14" s="2359" t="s">
        <v>2102</v>
      </c>
    </row>
    <row r="15" spans="1:29" ht="57">
      <c r="A15" s="68" t="s">
        <v>2103</v>
      </c>
      <c r="B15" s="1267" t="s">
        <v>2080</v>
      </c>
      <c r="C15" s="2397" t="str">
        <f>C3</f>
        <v>估价对象周边居住用地比例、居住小区规模和社区发展完善程度，综合评价居住社区成熟度一般</v>
      </c>
      <c r="D15" s="2365"/>
      <c r="E15" s="2398" t="s">
        <v>2104</v>
      </c>
      <c r="F15" s="1267" t="s">
        <v>2105</v>
      </c>
      <c r="G15" s="135" t="str">
        <f>G3</f>
        <v>估价对象位于XX开发区，园区建设成熟度XX，产业集聚程度XX</v>
      </c>
    </row>
    <row r="16" spans="1:29" ht="42.75">
      <c r="A16" s="645"/>
      <c r="B16" s="2399" t="s">
        <v>2084</v>
      </c>
      <c r="C16" s="2400" t="str">
        <f>C4</f>
        <v>估价对象位于XX商圈，周边商业氛围成熟，人流量大，商业繁华度好</v>
      </c>
      <c r="D16" s="2365"/>
      <c r="E16" s="2401"/>
      <c r="F16" s="2402" t="s">
        <v>2086</v>
      </c>
      <c r="G16" s="136" t="str">
        <f>G4</f>
        <v>估价对象周边道路状况、公共交通通达情况、停车便捷程度，综合评价交通便捷度较好</v>
      </c>
    </row>
    <row r="17" spans="1:18" ht="42.75">
      <c r="A17" s="645"/>
      <c r="B17" s="2399" t="s">
        <v>2088</v>
      </c>
      <c r="C17" s="2400" t="str">
        <f>C5</f>
        <v>估价对象位于XX商圈，周边办公楼项目较多，入驻率高，办公集聚程度较好</v>
      </c>
      <c r="D17" s="2371"/>
      <c r="E17" s="2401"/>
      <c r="F17" s="2402" t="s">
        <v>2106</v>
      </c>
      <c r="G17" s="1569"/>
    </row>
    <row r="18" spans="1:18" ht="57">
      <c r="A18" s="645"/>
      <c r="B18" s="2402" t="s">
        <v>2092</v>
      </c>
      <c r="C18" s="136" t="str">
        <f>C6</f>
        <v>估价对象周边道路状况、公共交通通达情况、停车便捷程度，综合评价交通便捷度较好</v>
      </c>
      <c r="D18" s="2371"/>
      <c r="E18" s="2401"/>
      <c r="F18" s="2402" t="s">
        <v>2095</v>
      </c>
      <c r="G18" s="136" t="str">
        <f>G7</f>
        <v>该园区内是否有污染型企业，绿化情况，卫生条件，整体环境状况判断</v>
      </c>
    </row>
    <row r="19" spans="1:18" ht="28.5">
      <c r="A19" s="645"/>
      <c r="B19" s="2402" t="s">
        <v>2107</v>
      </c>
      <c r="C19" s="1569"/>
      <c r="D19" s="2365"/>
      <c r="E19" s="2401"/>
      <c r="F19" s="1795" t="s">
        <v>2090</v>
      </c>
      <c r="G19" s="136" t="str">
        <f>G5</f>
        <v>估价对象所在区域公共配套设施齐备情况</v>
      </c>
    </row>
    <row r="20" spans="1:18" ht="28.5">
      <c r="A20" s="645"/>
      <c r="B20" s="2402" t="s">
        <v>2108</v>
      </c>
      <c r="C20" s="2400" t="str">
        <f>C9</f>
        <v>区域自然环境：；人文环境；综合评价环境状况一般</v>
      </c>
      <c r="D20" s="2371"/>
      <c r="E20" s="2401"/>
      <c r="F20" s="1795" t="s">
        <v>2109</v>
      </c>
      <c r="G20" s="136" t="str">
        <f>G6</f>
        <v>估价对象所在区域基础设施水平</v>
      </c>
    </row>
    <row r="21" spans="1:18" ht="28.5">
      <c r="A21" s="645"/>
      <c r="B21" s="1795" t="s">
        <v>2090</v>
      </c>
      <c r="C21" s="136" t="str">
        <f>C7</f>
        <v>估价对象所在区域公共配套设施齐备情况</v>
      </c>
      <c r="D21" s="2365"/>
      <c r="E21" s="2401"/>
      <c r="F21" s="2402" t="s">
        <v>2110</v>
      </c>
      <c r="G21" s="2403"/>
    </row>
    <row r="22" spans="1:18" ht="13.5" customHeight="1">
      <c r="A22" s="645"/>
      <c r="B22" s="1795" t="s">
        <v>2093</v>
      </c>
      <c r="C22" s="136" t="str">
        <f>C8</f>
        <v>估价对象所在区域基础设施水平</v>
      </c>
      <c r="D22" s="2365"/>
      <c r="E22" s="2401"/>
      <c r="F22" s="2402" t="s">
        <v>2099</v>
      </c>
      <c r="G22" s="1569"/>
    </row>
    <row r="23" spans="1:18" s="2362" customFormat="1" ht="15.75" thickBot="1">
      <c r="A23" s="645"/>
      <c r="B23" s="2402" t="s">
        <v>2110</v>
      </c>
      <c r="C23" s="2403"/>
      <c r="D23" s="2390"/>
      <c r="E23" s="2404"/>
      <c r="F23" s="2405" t="s">
        <v>2111</v>
      </c>
      <c r="G23" s="2406"/>
      <c r="H23" s="2390"/>
      <c r="I23" s="2391"/>
      <c r="J23" s="2390"/>
      <c r="K23" s="2390"/>
      <c r="L23" s="2391"/>
      <c r="M23" s="2390"/>
      <c r="N23" s="2390"/>
      <c r="O23" s="2391"/>
      <c r="P23" s="2390"/>
      <c r="Q23" s="2390"/>
      <c r="R23" s="2392"/>
    </row>
    <row r="24" spans="1:18" s="2362" customFormat="1" ht="15.75" thickBot="1">
      <c r="A24" s="2407"/>
      <c r="B24" s="2405" t="s">
        <v>2112</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10338.94</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43754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40190</v>
      </c>
      <c r="C5" s="1743">
        <f ca="1">ROUND(B5*10000/$B$1,0)</f>
        <v>38872</v>
      </c>
      <c r="D5" s="1743" t="e">
        <f ca="1">ROUND(B5*10000/$B$2,0)</f>
        <v>#DIV/0!</v>
      </c>
      <c r="E5" s="1742"/>
      <c r="F5" s="1740"/>
      <c r="G5" s="1740"/>
    </row>
    <row r="6" spans="1:10" ht="16.5">
      <c r="A6" s="1743" t="s">
        <v>1352</v>
      </c>
      <c r="B6" s="1743">
        <f ca="1">SUM(G14:G23)</f>
        <v>40190</v>
      </c>
      <c r="C6" s="1743">
        <f ca="1">ROUND(B6*10000/$B$1,0)</f>
        <v>38872</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10338.94</v>
      </c>
      <c r="C14" s="1741">
        <f>结果表!C118</f>
        <v>0</v>
      </c>
      <c r="D14" s="1741">
        <f ca="1">结果表!H118</f>
        <v>40190</v>
      </c>
      <c r="E14" s="1741">
        <f ca="1">ROUND(D14*10000/B14,0)</f>
        <v>38872</v>
      </c>
      <c r="F14" s="1741" t="e">
        <f ca="1">ROUND(D14*10000/C14,0)</f>
        <v>#DIV/0!</v>
      </c>
      <c r="G14" s="1741">
        <f ca="1">结果表!D122</f>
        <v>40190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2113</v>
      </c>
      <c r="B1" s="2413"/>
      <c r="C1" s="2414" t="s">
        <v>1373</v>
      </c>
      <c r="D1" s="2413"/>
      <c r="E1" s="2413"/>
      <c r="F1" s="2415" t="s">
        <v>2114</v>
      </c>
      <c r="G1" s="2065" t="s">
        <v>3071</v>
      </c>
      <c r="H1" s="2416" t="str">
        <f>IF(G1="现房","——","估价对象范围")</f>
        <v>——</v>
      </c>
      <c r="I1" s="2417"/>
    </row>
    <row r="2" spans="1:12" ht="21.75" customHeight="1" thickBot="1">
      <c r="A2" s="3078" t="str">
        <f>项目基本情况!S2</f>
        <v>上海市黄浦区西藏南路518-528号102、202、302室商业房地产</v>
      </c>
      <c r="B2" s="3079"/>
      <c r="C2" s="3079"/>
      <c r="D2" s="3079"/>
      <c r="E2" s="3079"/>
      <c r="F2" s="3079"/>
      <c r="G2" s="3079"/>
      <c r="H2" s="3079"/>
      <c r="I2" s="3080"/>
    </row>
    <row r="3" spans="1:12" ht="12.75">
      <c r="A3" s="3082" t="s">
        <v>2115</v>
      </c>
      <c r="B3" s="3083"/>
      <c r="C3" s="3083"/>
      <c r="D3" s="3083"/>
      <c r="E3" s="3083"/>
      <c r="F3" s="3083"/>
      <c r="G3" s="3083"/>
      <c r="H3" s="3083"/>
      <c r="I3" s="3083"/>
    </row>
    <row r="4" spans="1:12" ht="14.25">
      <c r="A4" s="2420" t="s">
        <v>2116</v>
      </c>
      <c r="B4" s="2421" t="s">
        <v>2117</v>
      </c>
      <c r="C4" s="2422" t="s">
        <v>3089</v>
      </c>
      <c r="D4" s="2422" t="s">
        <v>3059</v>
      </c>
      <c r="E4" s="3075" t="s">
        <v>2118</v>
      </c>
      <c r="F4" s="3076"/>
      <c r="G4" s="3076"/>
      <c r="H4" s="3076"/>
      <c r="I4" s="3084"/>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58" t="s">
        <v>2119</v>
      </c>
      <c r="B5" s="2997">
        <v>25</v>
      </c>
      <c r="C5" s="3061">
        <v>24</v>
      </c>
      <c r="D5" s="3081">
        <v>8</v>
      </c>
      <c r="E5" s="140" t="s">
        <v>2120</v>
      </c>
      <c r="F5" s="2424"/>
      <c r="G5" s="2424"/>
      <c r="H5" s="2424"/>
      <c r="I5" s="1831"/>
    </row>
    <row r="6" spans="1:12" ht="12.75">
      <c r="A6" s="3058"/>
      <c r="B6" s="2997"/>
      <c r="C6" s="3062"/>
      <c r="D6" s="3081"/>
      <c r="E6" s="140" t="s">
        <v>2121</v>
      </c>
      <c r="F6" s="2424"/>
      <c r="G6" s="2424"/>
      <c r="H6" s="2424"/>
      <c r="I6" s="1831"/>
    </row>
    <row r="7" spans="1:12" ht="12.75">
      <c r="A7" s="3058"/>
      <c r="B7" s="2997"/>
      <c r="C7" s="3063"/>
      <c r="D7" s="3081"/>
      <c r="E7" s="140" t="s">
        <v>2122</v>
      </c>
      <c r="F7" s="2424"/>
      <c r="G7" s="2424"/>
      <c r="H7" s="2424"/>
      <c r="I7" s="1831"/>
    </row>
    <row r="8" spans="1:12" ht="12.75">
      <c r="A8" s="3058" t="s">
        <v>2123</v>
      </c>
      <c r="B8" s="2997">
        <v>15</v>
      </c>
      <c r="C8" s="3061">
        <v>14</v>
      </c>
      <c r="D8" s="3081">
        <v>5</v>
      </c>
      <c r="E8" s="140" t="s">
        <v>2124</v>
      </c>
      <c r="F8" s="2424"/>
      <c r="G8" s="2424"/>
      <c r="H8" s="2424"/>
      <c r="I8" s="1831"/>
    </row>
    <row r="9" spans="1:12" ht="12.75">
      <c r="A9" s="3058"/>
      <c r="B9" s="2997"/>
      <c r="C9" s="3063"/>
      <c r="D9" s="3081"/>
      <c r="E9" s="140" t="s">
        <v>2125</v>
      </c>
      <c r="F9" s="2424"/>
      <c r="G9" s="2424"/>
      <c r="H9" s="2424"/>
      <c r="I9" s="1831"/>
    </row>
    <row r="10" spans="1:12" ht="12.75">
      <c r="A10" s="3058" t="s">
        <v>2126</v>
      </c>
      <c r="B10" s="2997">
        <v>15</v>
      </c>
      <c r="C10" s="3061">
        <v>14</v>
      </c>
      <c r="D10" s="3081">
        <v>5</v>
      </c>
      <c r="E10" s="140" t="s">
        <v>2127</v>
      </c>
      <c r="F10" s="2424"/>
      <c r="G10" s="2424"/>
      <c r="H10" s="2424"/>
      <c r="I10" s="1831"/>
    </row>
    <row r="11" spans="1:12" ht="12.75">
      <c r="A11" s="3058"/>
      <c r="B11" s="2997"/>
      <c r="C11" s="3063"/>
      <c r="D11" s="3081"/>
      <c r="E11" s="140" t="s">
        <v>2128</v>
      </c>
      <c r="F11" s="2424"/>
      <c r="G11" s="2424"/>
      <c r="H11" s="2424"/>
      <c r="I11" s="1831"/>
    </row>
    <row r="12" spans="1:12" ht="12.75">
      <c r="A12" s="3058" t="s">
        <v>2129</v>
      </c>
      <c r="B12" s="2997">
        <v>15</v>
      </c>
      <c r="C12" s="3061">
        <v>14</v>
      </c>
      <c r="D12" s="3081">
        <v>5</v>
      </c>
      <c r="E12" s="140" t="s">
        <v>2130</v>
      </c>
      <c r="F12" s="2424"/>
      <c r="G12" s="2424"/>
      <c r="H12" s="2424"/>
      <c r="I12" s="1831"/>
    </row>
    <row r="13" spans="1:12" ht="12.75">
      <c r="A13" s="3058"/>
      <c r="B13" s="2997"/>
      <c r="C13" s="3063"/>
      <c r="D13" s="3081"/>
      <c r="E13" s="140" t="s">
        <v>2131</v>
      </c>
      <c r="F13" s="2424"/>
      <c r="G13" s="2424"/>
      <c r="H13" s="2424"/>
      <c r="I13" s="1831"/>
    </row>
    <row r="14" spans="1:12" ht="12.75">
      <c r="A14" s="3058" t="s">
        <v>2132</v>
      </c>
      <c r="B14" s="2997">
        <v>30</v>
      </c>
      <c r="C14" s="3061">
        <v>29</v>
      </c>
      <c r="D14" s="3081">
        <v>10</v>
      </c>
      <c r="E14" s="140" t="s">
        <v>2133</v>
      </c>
      <c r="F14" s="2424"/>
      <c r="G14" s="2424"/>
      <c r="H14" s="2424"/>
      <c r="I14" s="1831"/>
    </row>
    <row r="15" spans="1:12" ht="12.75">
      <c r="A15" s="3058"/>
      <c r="B15" s="2997"/>
      <c r="C15" s="3062"/>
      <c r="D15" s="3081"/>
      <c r="E15" s="140" t="s">
        <v>2134</v>
      </c>
      <c r="F15" s="2424"/>
      <c r="G15" s="2424"/>
      <c r="H15" s="2424"/>
      <c r="I15" s="1831"/>
    </row>
    <row r="16" spans="1:12" ht="12.75">
      <c r="A16" s="3058"/>
      <c r="B16" s="2997"/>
      <c r="C16" s="3063"/>
      <c r="D16" s="3081"/>
      <c r="E16" s="140" t="s">
        <v>2135</v>
      </c>
      <c r="F16" s="2424"/>
      <c r="G16" s="2424"/>
      <c r="H16" s="2424"/>
      <c r="I16" s="1831"/>
    </row>
    <row r="17" spans="1:35" ht="15">
      <c r="A17" s="2425" t="s">
        <v>2136</v>
      </c>
      <c r="B17" s="64"/>
      <c r="C17" s="141">
        <f>SUM(C5:C16)</f>
        <v>95</v>
      </c>
      <c r="D17" s="141">
        <f>SUM(D5:D16)</f>
        <v>33</v>
      </c>
      <c r="E17" s="138"/>
      <c r="F17" s="138"/>
      <c r="G17" s="138"/>
      <c r="H17" s="138"/>
      <c r="I17" s="138"/>
      <c r="K17" s="2423"/>
      <c r="L17" s="2426" t="s">
        <v>2137</v>
      </c>
      <c r="M17" s="2426" t="s">
        <v>2138</v>
      </c>
    </row>
    <row r="18" spans="1:35" ht="15.75" thickBot="1">
      <c r="A18" s="2427" t="s">
        <v>2139</v>
      </c>
      <c r="B18" s="2428"/>
      <c r="C18" s="142">
        <f>ROUND(C17/SUM(C17:D17),2)</f>
        <v>0.74</v>
      </c>
      <c r="D18" s="142">
        <f>1-C18</f>
        <v>0.26</v>
      </c>
      <c r="E18" s="138"/>
      <c r="F18" s="138"/>
      <c r="G18" s="138"/>
      <c r="H18" s="138"/>
      <c r="I18" s="138"/>
      <c r="K18" s="2423" t="s">
        <v>2140</v>
      </c>
      <c r="L18" s="2423">
        <f>IF(C1="",'数据-汇总表'!E3,SUMIF(项目类型,C1,'数据-汇总表'!E17:E26)+SUMIF(项目类型,C1,'数据-汇总表'!I17:I26))</f>
        <v>10338.94</v>
      </c>
      <c r="M18" s="2423">
        <f>IF(C1="",'数据-汇总表'!E3,SUMIF(项目类型,C1,'数据-汇总表'!E17:E26))</f>
        <v>10338.94</v>
      </c>
    </row>
    <row r="19" spans="1:35" ht="15">
      <c r="A19" s="2429" t="s">
        <v>2141</v>
      </c>
      <c r="B19" s="2430" t="s">
        <v>2142</v>
      </c>
      <c r="C19" s="143">
        <f ca="1">SUMIF(INDIRECT("'"&amp;C4&amp;"'"&amp;"!A:A"),结果表!B19,INDIRECT("'"&amp;C4&amp;"'"&amp;"!B:B"))</f>
        <v>46716</v>
      </c>
      <c r="D19" s="144">
        <f ca="1">SUMIF(INDIRECT("'"&amp;D4&amp;"'"&amp;"!A:A"),结果表!B19,INDIRECT("'"&amp;D4&amp;"'"&amp;"!B:B"))</f>
        <v>21617</v>
      </c>
      <c r="E19" s="2429" t="s">
        <v>2143</v>
      </c>
      <c r="F19" s="2430" t="s">
        <v>2142</v>
      </c>
      <c r="G19" s="145">
        <f ca="1">ROUND(C19*$C$18+D19*$D$18,0)</f>
        <v>40190</v>
      </c>
      <c r="H19" s="2431" t="s">
        <v>2144</v>
      </c>
      <c r="I19" s="138"/>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7" t="s">
        <v>2146</v>
      </c>
      <c r="C20" s="146">
        <f ca="1">SUMIF(INDIRECT("'"&amp;C4&amp;"'"&amp;"!A:A"),结果表!B20,INDIRECT("'"&amp;C4&amp;"'"&amp;"!B:B"))</f>
        <v>45185</v>
      </c>
      <c r="D20" s="147">
        <f ca="1">SUMIF(INDIRECT("'"&amp;D4&amp;"'"&amp;"!A:A"),结果表!B20,INDIRECT("'"&amp;D4&amp;"'"&amp;"!B:B"))</f>
        <v>20908</v>
      </c>
      <c r="E20" s="2432"/>
      <c r="F20" s="1247" t="s">
        <v>2146</v>
      </c>
      <c r="G20" s="148">
        <f ca="1">ROUND(C20*$C$18+D20*$D$18,0)</f>
        <v>38873</v>
      </c>
      <c r="H20" s="980" t="s">
        <v>2147</v>
      </c>
      <c r="I20" s="138"/>
    </row>
    <row r="21" spans="1:35" ht="15" customHeight="1" thickBot="1">
      <c r="A21" s="1000"/>
      <c r="B21" s="2433" t="s">
        <v>2148</v>
      </c>
      <c r="C21" s="789" t="e">
        <f ca="1">ROUND(C19*10000/L19,0)</f>
        <v>#DIV/0!</v>
      </c>
      <c r="D21" s="790" t="e">
        <f ca="1">ROUND(D19*10000/L19,0)</f>
        <v>#DIV/0!</v>
      </c>
      <c r="E21" s="1000"/>
      <c r="F21" s="2433" t="s">
        <v>2148</v>
      </c>
      <c r="G21" s="149" t="e">
        <f ca="1">ROUND(G19*10000/L19,0)</f>
        <v>#DIV/0!</v>
      </c>
      <c r="H21" s="2434" t="s">
        <v>2147</v>
      </c>
      <c r="I21" s="138"/>
    </row>
    <row r="22" spans="1:35" ht="15" thickBot="1">
      <c r="A22" s="2275" t="s">
        <v>2149</v>
      </c>
      <c r="B22" s="2435"/>
      <c r="C22" s="2436"/>
      <c r="D22" s="791">
        <f ca="1">IF(C19&lt;D19,D19/C19-1,C19/D19-1)</f>
        <v>1.1610769301938291</v>
      </c>
      <c r="E22" s="138"/>
      <c r="F22" s="138"/>
      <c r="G22" s="138"/>
      <c r="H22" s="138"/>
      <c r="I22" s="138"/>
    </row>
    <row r="23" spans="1:35" ht="13.5" thickBot="1">
      <c r="A23" s="2413"/>
      <c r="B23" s="2413"/>
      <c r="C23" s="2413"/>
      <c r="D23" s="2413"/>
      <c r="E23" s="138"/>
      <c r="F23" s="138"/>
      <c r="G23" s="138"/>
      <c r="H23" s="138"/>
      <c r="I23" s="138"/>
    </row>
    <row r="24" spans="1:35" ht="14.25">
      <c r="A24" s="3052" t="s">
        <v>2150</v>
      </c>
      <c r="B24" s="2430" t="s">
        <v>2142</v>
      </c>
      <c r="C24" s="145">
        <f>IF(B30=0,0,D30)</f>
        <v>0</v>
      </c>
      <c r="D24" s="2437"/>
      <c r="E24" s="138"/>
      <c r="F24" s="138"/>
      <c r="G24" s="138"/>
      <c r="H24" s="138"/>
      <c r="I24" s="138"/>
    </row>
    <row r="25" spans="1:35" ht="14.25">
      <c r="A25" s="3053"/>
      <c r="B25" s="1247"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12" t="s">
        <v>3032</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2156</v>
      </c>
      <c r="B32" s="2443"/>
      <c r="C32" s="153">
        <f ca="1">IF(D32="总价",G19-C24,G20-C25)</f>
        <v>40190</v>
      </c>
      <c r="D32" s="2444" t="s">
        <v>2157</v>
      </c>
      <c r="E32" s="138"/>
      <c r="F32" s="138"/>
      <c r="G32" s="138"/>
      <c r="H32" s="138"/>
      <c r="I32" s="138"/>
    </row>
    <row r="33" spans="1:15" ht="15">
      <c r="A33" s="957" t="s">
        <v>2158</v>
      </c>
      <c r="B33" s="2445"/>
      <c r="C33" s="2446"/>
      <c r="D33" s="2447"/>
      <c r="E33" s="2448" t="s">
        <v>2159</v>
      </c>
      <c r="F33" s="2449" t="str">
        <f>IF(D32="楼面单价","取值（单价）","取值（总价）")</f>
        <v>取值（总价）</v>
      </c>
      <c r="G33" s="138"/>
      <c r="H33" s="138"/>
      <c r="I33" s="138"/>
    </row>
    <row r="34" spans="1:15" ht="15">
      <c r="A34" s="2450"/>
      <c r="B34" s="2451"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2161</v>
      </c>
      <c r="F34" s="1736"/>
      <c r="G34" s="138"/>
      <c r="H34" s="138"/>
      <c r="I34" s="138"/>
    </row>
    <row r="35" spans="1:15" ht="15.75" thickBot="1">
      <c r="A35" s="2453"/>
      <c r="B35" s="2454"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2163</v>
      </c>
      <c r="F35" s="163"/>
      <c r="G35" s="138"/>
      <c r="H35" s="138"/>
      <c r="I35" s="138"/>
    </row>
    <row r="36" spans="1:15" ht="15.75" thickBot="1">
      <c r="A36" s="3070" t="s">
        <v>2164</v>
      </c>
      <c r="B36" s="2456" t="s">
        <v>2165</v>
      </c>
      <c r="C36" s="154"/>
      <c r="D36" s="2457"/>
      <c r="E36" s="2458"/>
      <c r="F36" s="2459"/>
      <c r="G36" s="138"/>
      <c r="H36" s="138"/>
      <c r="I36" s="138"/>
    </row>
    <row r="37" spans="1:15" ht="15.75" thickBot="1">
      <c r="A37" s="3071"/>
      <c r="B37" s="2261" t="s">
        <v>2166</v>
      </c>
      <c r="C37" s="156"/>
      <c r="D37" s="1392"/>
      <c r="E37" s="1392"/>
      <c r="F37" s="2459"/>
      <c r="G37" s="138"/>
      <c r="H37" s="138"/>
      <c r="I37" s="138"/>
    </row>
    <row r="38" spans="1:15" ht="15.75" thickBot="1">
      <c r="A38" s="3072"/>
      <c r="B38" s="2460" t="s">
        <v>2167</v>
      </c>
      <c r="C38" s="727"/>
      <c r="D38" s="2461" t="s">
        <v>2168</v>
      </c>
      <c r="E38" s="1392"/>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049" t="s">
        <v>2178</v>
      </c>
      <c r="B45" s="3050"/>
      <c r="C45" s="3051"/>
      <c r="D45" s="164">
        <f ca="1">ROUND(H101*F45,0)</f>
        <v>40190</v>
      </c>
      <c r="E45" s="165" t="s">
        <v>2179</v>
      </c>
      <c r="F45" s="166">
        <v>1</v>
      </c>
      <c r="G45" s="167" t="s">
        <v>2180</v>
      </c>
      <c r="H45" s="138"/>
      <c r="I45" s="138"/>
      <c r="J45" s="3109" t="s">
        <v>2181</v>
      </c>
      <c r="K45" s="3109"/>
      <c r="L45" s="3109"/>
      <c r="M45" s="3109"/>
      <c r="N45" s="3109"/>
      <c r="O45" s="3109"/>
    </row>
    <row r="46" spans="1:15" ht="14.25" customHeight="1">
      <c r="A46" s="3046" t="s">
        <v>2182</v>
      </c>
      <c r="B46" s="3047"/>
      <c r="C46" s="3047"/>
      <c r="D46" s="3047"/>
      <c r="E46" s="3047"/>
      <c r="F46" s="3047"/>
      <c r="G46" s="3048"/>
      <c r="H46" s="2475"/>
      <c r="I46" s="168"/>
      <c r="J46" s="1809">
        <v>1</v>
      </c>
      <c r="K46" s="3109" t="s">
        <v>2183</v>
      </c>
      <c r="L46" s="3109"/>
      <c r="M46" s="3129"/>
      <c r="N46" s="3129"/>
      <c r="O46" s="3129"/>
    </row>
    <row r="47" spans="1:15" ht="12" customHeight="1">
      <c r="A47" s="169" t="s">
        <v>2184</v>
      </c>
      <c r="B47" s="170"/>
      <c r="C47" s="171"/>
      <c r="D47" s="172" t="s">
        <v>2185</v>
      </c>
      <c r="E47" s="24" t="s">
        <v>2186</v>
      </c>
      <c r="F47" s="173" t="s">
        <v>2187</v>
      </c>
      <c r="G47" s="174" t="s">
        <v>2188</v>
      </c>
      <c r="H47" s="2475"/>
      <c r="I47" s="168"/>
      <c r="J47" s="1809">
        <v>2</v>
      </c>
      <c r="K47" s="3109" t="s">
        <v>2189</v>
      </c>
      <c r="L47" s="3109"/>
      <c r="M47" s="3130">
        <f>'数据-取费表'!B2</f>
        <v>43754</v>
      </c>
      <c r="N47" s="3130"/>
      <c r="O47" s="3130"/>
    </row>
    <row r="48" spans="1:15" ht="25.5">
      <c r="A48" s="3077" t="s">
        <v>2190</v>
      </c>
      <c r="B48" s="3060"/>
      <c r="C48" s="3060"/>
      <c r="D48" s="140">
        <f>IF(H48="情况1",0,IF(H48="情况2",D52,IF(H48="情况3",D53,IF(H48="情况4",D54))))</f>
        <v>0</v>
      </c>
      <c r="E48" s="1798" t="str">
        <f>IF(H48="情况4","(销售额-原购置价)×税（费）率","销售额×税（费）率")</f>
        <v>销售额×税（费）率</v>
      </c>
      <c r="F48" s="175" t="str">
        <f>IF(H48="情况1","免征",'数据-取费表'!B41)</f>
        <v>免征</v>
      </c>
      <c r="G48" s="2476" t="s">
        <v>2191</v>
      </c>
      <c r="H48" s="2477" t="s">
        <v>2192</v>
      </c>
      <c r="I48" s="2475"/>
      <c r="J48" s="1809">
        <v>3</v>
      </c>
      <c r="K48" s="3109" t="s">
        <v>2193</v>
      </c>
      <c r="L48" s="3109"/>
      <c r="M48" s="3131">
        <f ca="1">H101</f>
        <v>40190</v>
      </c>
      <c r="N48" s="3131"/>
      <c r="O48" s="3131"/>
    </row>
    <row r="49" spans="1:35" ht="25.5" customHeight="1">
      <c r="A49" s="176" t="s">
        <v>2194</v>
      </c>
      <c r="B49" s="3045" t="s">
        <v>2195</v>
      </c>
      <c r="C49" s="3045"/>
      <c r="D49" s="177">
        <v>0</v>
      </c>
      <c r="E49" s="23" t="s">
        <v>2196</v>
      </c>
      <c r="F49" s="28" t="s">
        <v>34</v>
      </c>
      <c r="G49" s="3115"/>
      <c r="H49" s="138"/>
      <c r="I49" s="2478"/>
      <c r="J49" s="1809">
        <v>4</v>
      </c>
      <c r="K49" s="3109" t="str">
        <f>IF(项目基本情况!E8="房地产抵押价值","房地产抵押价值","抵押担保权已注销时的房地产抵押价值")</f>
        <v>抵押担保权已注销时的房地产抵押价值</v>
      </c>
      <c r="L49" s="3109"/>
      <c r="M49" s="3131" t="str">
        <f>IF(项目基本情况!E8="房地产抵押价值",H107,H109)</f>
        <v>——</v>
      </c>
      <c r="N49" s="3131"/>
      <c r="O49" s="3131"/>
    </row>
    <row r="50" spans="1:35" ht="25.5" customHeight="1">
      <c r="A50" s="178"/>
      <c r="B50" s="3045" t="s">
        <v>2197</v>
      </c>
      <c r="C50" s="3045"/>
      <c r="D50" s="179"/>
      <c r="E50" s="31"/>
      <c r="F50" s="180"/>
      <c r="G50" s="3116"/>
      <c r="H50" s="138"/>
      <c r="I50" s="2478"/>
      <c r="J50" s="3109" t="s">
        <v>2198</v>
      </c>
      <c r="K50" s="3109"/>
      <c r="L50" s="3109"/>
      <c r="M50" s="3109"/>
      <c r="N50" s="3109"/>
      <c r="O50" s="3109"/>
    </row>
    <row r="51" spans="1:35" ht="12" customHeight="1">
      <c r="A51" s="181"/>
      <c r="B51" s="3045" t="s">
        <v>2199</v>
      </c>
      <c r="C51" s="3045"/>
      <c r="D51" s="182"/>
      <c r="E51" s="30"/>
      <c r="F51" s="180"/>
      <c r="G51" s="3117"/>
      <c r="H51" s="138"/>
      <c r="I51" s="2478"/>
      <c r="J51" s="2479" t="s">
        <v>2200</v>
      </c>
      <c r="K51" s="3109" t="s">
        <v>2201</v>
      </c>
      <c r="L51" s="3109"/>
      <c r="M51" s="2479" t="s">
        <v>2202</v>
      </c>
      <c r="N51" s="2479" t="s">
        <v>2203</v>
      </c>
      <c r="O51" s="2479" t="s">
        <v>2204</v>
      </c>
    </row>
    <row r="52" spans="1:35" ht="24" customHeight="1">
      <c r="A52" s="183" t="s">
        <v>2205</v>
      </c>
      <c r="B52" s="3045" t="s">
        <v>2206</v>
      </c>
      <c r="C52" s="3045"/>
      <c r="D52" s="182">
        <f ca="1">ROUND(D45*'数据-取费表'!B41/(1+'数据-取费表'!C42),0)</f>
        <v>2143</v>
      </c>
      <c r="E52" s="11" t="s">
        <v>2207</v>
      </c>
      <c r="F52" s="184">
        <f>'数据-取费表'!B41</f>
        <v>5.6000000000000001E-2</v>
      </c>
      <c r="G52" s="2480"/>
      <c r="H52" s="138"/>
      <c r="I52" s="2478"/>
      <c r="J52" s="1809">
        <v>1</v>
      </c>
      <c r="K52" s="3110" t="s">
        <v>2208</v>
      </c>
      <c r="L52" s="3110"/>
      <c r="M52" s="1751">
        <f>D48</f>
        <v>0</v>
      </c>
      <c r="N52" s="1809" t="str">
        <f>E48</f>
        <v>销售额×税（费）率</v>
      </c>
      <c r="O52" s="1752" t="str">
        <f>F48</f>
        <v>免征</v>
      </c>
    </row>
    <row r="53" spans="1:35" ht="12" customHeight="1">
      <c r="A53" s="183" t="s">
        <v>2209</v>
      </c>
      <c r="B53" s="3068" t="s">
        <v>2210</v>
      </c>
      <c r="C53" s="3069"/>
      <c r="D53" s="182">
        <f ca="1">ROUND(D45*'数据-取费表'!B41/(1+'数据-取费表'!C42),0)</f>
        <v>2143</v>
      </c>
      <c r="E53" s="11" t="s">
        <v>2207</v>
      </c>
      <c r="F53" s="184">
        <f>'数据-取费表'!B41</f>
        <v>5.6000000000000001E-2</v>
      </c>
      <c r="G53" s="2480"/>
      <c r="H53" s="138"/>
      <c r="I53" s="2478"/>
      <c r="J53" s="1809">
        <v>2</v>
      </c>
      <c r="K53" s="3110" t="s">
        <v>2211</v>
      </c>
      <c r="L53" s="3110"/>
      <c r="M53" s="1751">
        <f t="shared" ref="M53:O54" ca="1" si="0">D55</f>
        <v>20</v>
      </c>
      <c r="N53" s="1809" t="str">
        <f t="shared" si="0"/>
        <v>销售额×税（费）率</v>
      </c>
      <c r="O53" s="1752">
        <f t="shared" si="0"/>
        <v>5.0000000000000001E-4</v>
      </c>
    </row>
    <row r="54" spans="1:35" ht="12" customHeight="1">
      <c r="A54" s="183" t="s">
        <v>2212</v>
      </c>
      <c r="B54" s="3068" t="s">
        <v>2213</v>
      </c>
      <c r="C54" s="3069"/>
      <c r="D54" s="182">
        <f ca="1">C68</f>
        <v>2143</v>
      </c>
      <c r="E54" s="30" t="s">
        <v>2214</v>
      </c>
      <c r="F54" s="184">
        <f>'数据-取费表'!B41</f>
        <v>5.6000000000000001E-2</v>
      </c>
      <c r="G54" s="2480"/>
      <c r="H54" s="2481"/>
      <c r="I54" s="2478"/>
      <c r="J54" s="1809">
        <v>3</v>
      </c>
      <c r="K54" s="3110" t="s">
        <v>2215</v>
      </c>
      <c r="L54" s="3110"/>
      <c r="M54" s="1751">
        <f t="shared" ca="1" si="0"/>
        <v>22747</v>
      </c>
      <c r="N54" s="1809" t="str">
        <f t="shared" si="0"/>
        <v>增值额×税（费）率</v>
      </c>
      <c r="O54" s="1753" t="str">
        <f t="shared" si="0"/>
        <v>——</v>
      </c>
    </row>
    <row r="55" spans="1:35" ht="24" customHeight="1">
      <c r="A55" s="3059" t="s">
        <v>2216</v>
      </c>
      <c r="B55" s="3060"/>
      <c r="C55" s="3060"/>
      <c r="D55" s="185">
        <f ca="1">IF(H55="个人住宅",0,ROUND(D45*I55,0))</f>
        <v>20</v>
      </c>
      <c r="E55" s="11" t="s">
        <v>2217</v>
      </c>
      <c r="F55" s="184">
        <f>IF(H55="正常",I55,"免征")</f>
        <v>5.0000000000000001E-4</v>
      </c>
      <c r="G55" s="2480"/>
      <c r="H55" s="2477" t="s">
        <v>2218</v>
      </c>
      <c r="I55" s="186">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2219</v>
      </c>
      <c r="B56" s="3060"/>
      <c r="C56" s="3060"/>
      <c r="D56" s="185">
        <f ca="1">IF(H56="个人住宅",D57,D58)</f>
        <v>22747</v>
      </c>
      <c r="E56" s="11" t="s">
        <v>2220</v>
      </c>
      <c r="F56" s="184" t="str">
        <f>IF(H56="正常",F58,"免征")</f>
        <v>——</v>
      </c>
      <c r="G56" s="2482" t="s">
        <v>2221</v>
      </c>
      <c r="H56" s="2483" t="s">
        <v>2218</v>
      </c>
      <c r="I56" s="2484"/>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3" t="s">
        <v>2194</v>
      </c>
      <c r="B57" s="3075" t="s">
        <v>2222</v>
      </c>
      <c r="C57" s="3084"/>
      <c r="D57" s="187">
        <v>0</v>
      </c>
      <c r="E57" s="23" t="s">
        <v>2196</v>
      </c>
      <c r="F57" s="155"/>
      <c r="G57" s="2480"/>
      <c r="H57" s="2484"/>
      <c r="I57" s="2484"/>
      <c r="J57" s="3110">
        <f>IF(AND(J55="",J56=""),4,IF(项目基本情况!K6="上海银行",结果表!J56+1,结果表!J55+1))</f>
        <v>4</v>
      </c>
      <c r="K57" s="3110" t="s">
        <v>2223</v>
      </c>
      <c r="L57" s="2485" t="s">
        <v>2224</v>
      </c>
      <c r="M57" s="1756"/>
      <c r="N57" s="1757">
        <f ca="1">SUMIF(M52:M56,"&lt;9e307")</f>
        <v>22767</v>
      </c>
      <c r="O57" s="2486"/>
      <c r="P57" s="1750" t="e">
        <f ca="1">N57/M49</f>
        <v>#VALUE!</v>
      </c>
    </row>
    <row r="58" spans="1:35" ht="24.75">
      <c r="A58" s="183" t="s">
        <v>2205</v>
      </c>
      <c r="B58" s="3075" t="s">
        <v>2225</v>
      </c>
      <c r="C58" s="3076"/>
      <c r="D58" s="185">
        <f ca="1">IF(H58="转让取得",C81,C97)</f>
        <v>22747</v>
      </c>
      <c r="E58" s="11" t="s">
        <v>2220</v>
      </c>
      <c r="F58" s="24" t="s">
        <v>34</v>
      </c>
      <c r="G58" s="2480"/>
      <c r="H58" s="2483" t="s">
        <v>2226</v>
      </c>
      <c r="I58" s="2484"/>
      <c r="J58" s="3110"/>
      <c r="K58" s="3110"/>
      <c r="L58" s="2485" t="s">
        <v>2227</v>
      </c>
      <c r="M58" s="1758"/>
      <c r="N58" s="2487" t="str">
        <f ca="1">NUMBERSTRING(INT(N57*10000),2)&amp;"元整"</f>
        <v>贰亿贰仟柒佰陆拾柒万元整</v>
      </c>
      <c r="O58" s="2488"/>
    </row>
    <row r="59" spans="1:35" ht="24.75" thickBot="1">
      <c r="A59" s="3113" t="s">
        <v>2228</v>
      </c>
      <c r="B59" s="3114"/>
      <c r="C59" s="3114"/>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111">
        <f>J57+1</f>
        <v>5</v>
      </c>
      <c r="K59" s="3110" t="s">
        <v>2230</v>
      </c>
      <c r="L59" s="1809" t="s">
        <v>2224</v>
      </c>
      <c r="M59" s="1759"/>
      <c r="N59" s="1760" t="e">
        <f ca="1">M49-N57</f>
        <v>#VALUE!</v>
      </c>
      <c r="O59" s="2490"/>
    </row>
    <row r="60" spans="1:35" ht="12" customHeight="1">
      <c r="A60" s="2491"/>
      <c r="B60" s="2413"/>
      <c r="C60" s="2413"/>
      <c r="D60" s="2413"/>
      <c r="E60" s="2160"/>
      <c r="F60" s="2484"/>
      <c r="G60" s="2484"/>
      <c r="H60" s="2492"/>
      <c r="I60" s="138"/>
      <c r="J60" s="3112"/>
      <c r="K60" s="3110"/>
      <c r="L60" s="2485" t="s">
        <v>2227</v>
      </c>
      <c r="M60" s="1758"/>
      <c r="N60" s="2487" t="e">
        <f ca="1">NUMBERSTRING(INT(N59*10000),2)&amp;"元整"</f>
        <v>#VALUE!</v>
      </c>
      <c r="O60" s="2488"/>
    </row>
    <row r="61" spans="1:35" ht="13.5" thickBot="1">
      <c r="A61" s="3057" t="s">
        <v>2231</v>
      </c>
      <c r="B61" s="3057"/>
      <c r="C61" s="3057"/>
      <c r="D61" s="3057"/>
      <c r="E61" s="3057"/>
      <c r="F61" s="2484"/>
      <c r="G61" s="2484"/>
      <c r="H61" s="2492"/>
      <c r="I61" s="138"/>
      <c r="J61" s="1809">
        <f>J59+1</f>
        <v>6</v>
      </c>
      <c r="K61" s="3110" t="s">
        <v>2232</v>
      </c>
      <c r="L61" s="3110"/>
      <c r="M61" s="1761"/>
      <c r="N61" s="1762" t="e">
        <f ca="1">ROUND(N59*10000/'数据-汇总表'!E3,0)</f>
        <v>#VALUE!</v>
      </c>
      <c r="O61" s="2493"/>
    </row>
    <row r="62" spans="1:35" ht="12.75">
      <c r="A62" s="3073" t="s">
        <v>2233</v>
      </c>
      <c r="B62" s="3074"/>
      <c r="C62" s="1801"/>
      <c r="D62" s="1801" t="s">
        <v>2234</v>
      </c>
      <c r="E62" s="192" t="s">
        <v>2235</v>
      </c>
      <c r="F62" s="2484"/>
      <c r="G62" s="2484"/>
      <c r="H62" s="2492"/>
      <c r="I62" s="138"/>
    </row>
    <row r="63" spans="1:35" ht="12.75">
      <c r="A63" s="203" t="s">
        <v>775</v>
      </c>
      <c r="B63" s="193" t="s">
        <v>2236</v>
      </c>
      <c r="C63" s="194">
        <f ca="1">ROUND((C64+C65)/(1+'数据-取费表'!C42),0)</f>
        <v>38276</v>
      </c>
      <c r="D63" s="195"/>
      <c r="E63" s="196"/>
      <c r="F63" s="2484"/>
      <c r="G63" s="2484"/>
      <c r="H63" s="2492"/>
      <c r="I63" s="138"/>
      <c r="J63" s="3135" t="s">
        <v>2237</v>
      </c>
      <c r="K63" s="2494" t="s">
        <v>2238</v>
      </c>
      <c r="L63" s="1749" t="e">
        <f>IF(M49&gt;10000,M49*0.5%,IF(AND(M49&gt;1000,M49&lt;=10000),M49*1%,IF(AND(M49&gt;100,M49&lt;=1000),M49*3%,IF(AND(M49&gt;10,M49&lt;=100),M49*5%,M49*8%))))</f>
        <v>#VALUE!</v>
      </c>
      <c r="M63" s="24" t="e">
        <f>ROUND(L63,1)</f>
        <v>#VALUE!</v>
      </c>
      <c r="Z63" s="2418"/>
      <c r="AI63" s="2419"/>
    </row>
    <row r="64" spans="1:35" ht="14.25" customHeight="1">
      <c r="A64" s="197" t="s">
        <v>770</v>
      </c>
      <c r="B64" s="198" t="s">
        <v>2239</v>
      </c>
      <c r="C64" s="199">
        <f ca="1">D45</f>
        <v>40190</v>
      </c>
      <c r="D64" s="200" t="s">
        <v>32</v>
      </c>
      <c r="E64" s="201"/>
      <c r="F64" s="2484"/>
      <c r="G64" s="2484"/>
      <c r="H64" s="2492"/>
      <c r="I64" s="138"/>
      <c r="J64" s="3135"/>
      <c r="K64" s="2494" t="s">
        <v>2240</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18"/>
      <c r="AI64" s="2419"/>
    </row>
    <row r="65" spans="1:35" ht="14.25" customHeight="1">
      <c r="A65" s="197" t="s">
        <v>771</v>
      </c>
      <c r="B65" s="198" t="s">
        <v>2242</v>
      </c>
      <c r="C65" s="202"/>
      <c r="D65" s="200"/>
      <c r="E65" s="201"/>
      <c r="F65" s="2484"/>
      <c r="G65" s="2484"/>
      <c r="H65" s="2492"/>
      <c r="I65" s="138"/>
      <c r="J65" s="3135"/>
      <c r="K65" s="2494" t="s">
        <v>2243</v>
      </c>
      <c r="L65" s="1749" t="e">
        <f>IF(M49&gt;1000,M49*0.1%,IF(AND(M49&gt;500,M49&lt;=1000),M49*0.5%,IF(AND(M49&gt;50,M49&lt;=500),M49*1%,IF(AND(M49&gt;1,M49&lt;=50),M49*1.5%))))</f>
        <v>#VALUE!</v>
      </c>
      <c r="M65" s="24" t="e">
        <f t="shared" si="1"/>
        <v>#VALUE!</v>
      </c>
      <c r="N65" s="138" t="s">
        <v>2241</v>
      </c>
      <c r="Z65" s="2418"/>
      <c r="AI65" s="2419"/>
    </row>
    <row r="66" spans="1:35" ht="14.25" customHeight="1">
      <c r="A66" s="203" t="s">
        <v>772</v>
      </c>
      <c r="B66" s="204" t="s">
        <v>2244</v>
      </c>
      <c r="C66" s="205"/>
      <c r="D66" s="206" t="s">
        <v>32</v>
      </c>
      <c r="E66" s="1773" t="s">
        <v>1367</v>
      </c>
      <c r="F66" s="2484"/>
      <c r="G66" s="2484"/>
      <c r="H66" s="2492"/>
      <c r="I66" s="138"/>
      <c r="J66" s="3135"/>
      <c r="K66" s="2494" t="s">
        <v>2245</v>
      </c>
      <c r="L66" s="1749" t="e">
        <f>M49*0.5%</f>
        <v>#VALUE!</v>
      </c>
      <c r="M66" s="24" t="e">
        <f>IF(L66&gt;0.5,0.5,ROUND(L66,0))</f>
        <v>#VALUE!</v>
      </c>
      <c r="N66" s="138" t="s">
        <v>2246</v>
      </c>
      <c r="Z66" s="2418"/>
      <c r="AI66" s="2419"/>
    </row>
    <row r="67" spans="1:35" ht="14.25" customHeight="1">
      <c r="A67" s="203" t="s">
        <v>773</v>
      </c>
      <c r="B67" s="204" t="s">
        <v>2247</v>
      </c>
      <c r="C67" s="207">
        <f ca="1">C63-C66</f>
        <v>38276</v>
      </c>
      <c r="D67" s="200" t="s">
        <v>32</v>
      </c>
      <c r="E67" s="201"/>
      <c r="F67" s="2484"/>
      <c r="G67" s="2484"/>
      <c r="H67" s="2492"/>
      <c r="I67" s="138"/>
      <c r="J67" s="3135"/>
      <c r="K67" s="2494" t="s">
        <v>2248</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2249</v>
      </c>
      <c r="C68" s="210">
        <f ca="1">IF(C67&lt;=0,0,ROUND(C67*D68,0))</f>
        <v>2143</v>
      </c>
      <c r="D68" s="211">
        <f>'数据-取费表'!B41</f>
        <v>5.6000000000000001E-2</v>
      </c>
      <c r="E68" s="212"/>
      <c r="F68" s="2484"/>
      <c r="G68" s="2484"/>
      <c r="H68" s="2492"/>
      <c r="I68" s="138"/>
      <c r="J68" s="3135"/>
      <c r="K68" s="2494" t="s">
        <v>2250</v>
      </c>
      <c r="L68" s="1749"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35"/>
      <c r="K69" s="2494" t="s">
        <v>2251</v>
      </c>
      <c r="L69" s="2500"/>
      <c r="M69" s="24" t="e">
        <f>ROUND(SUM(M63:M68),0)</f>
        <v>#VALUE!</v>
      </c>
      <c r="N69" s="1750"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094" t="s">
        <v>2252</v>
      </c>
      <c r="B70" s="3095"/>
      <c r="C70" s="3095"/>
      <c r="D70" s="3095"/>
      <c r="E70" s="3095"/>
      <c r="F70" s="3095"/>
      <c r="G70" s="3095"/>
      <c r="H70" s="309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73" t="s">
        <v>2233</v>
      </c>
      <c r="B71" s="3074"/>
      <c r="C71" s="1801"/>
      <c r="D71" s="1801"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38276</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230</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068" t="s">
        <v>2261</v>
      </c>
      <c r="F76" s="3045"/>
      <c r="G76" s="3045"/>
      <c r="H76" s="309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230</v>
      </c>
      <c r="D78" s="226">
        <f>'数据-取费表'!B43</f>
        <v>6.000000000000001E-3</v>
      </c>
      <c r="E78" s="3054" t="s">
        <v>2266</v>
      </c>
      <c r="F78" s="3055"/>
      <c r="G78" s="3055"/>
      <c r="H78" s="306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38046</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165.41739130434783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22747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094" t="s">
        <v>2270</v>
      </c>
      <c r="B83" s="3095"/>
      <c r="C83" s="3095"/>
      <c r="D83" s="3095"/>
      <c r="E83" s="3095"/>
      <c r="F83" s="3095"/>
      <c r="G83" s="3095"/>
      <c r="H83" s="309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73" t="s">
        <v>2233</v>
      </c>
      <c r="B84" s="3074"/>
      <c r="C84" s="1801"/>
      <c r="D84" s="1801"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38276</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230</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7"/>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054" t="s">
        <v>2279</v>
      </c>
      <c r="F91" s="3055"/>
      <c r="G91" s="3055"/>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054" t="s">
        <v>2283</v>
      </c>
      <c r="F92" s="3055"/>
      <c r="G92" s="3055"/>
      <c r="H92" s="306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230</v>
      </c>
      <c r="D93" s="226">
        <f>'数据-取费表'!B43</f>
        <v>6.000000000000001E-3</v>
      </c>
      <c r="E93" s="3054" t="s">
        <v>2266</v>
      </c>
      <c r="F93" s="3055"/>
      <c r="G93" s="3055"/>
      <c r="H93" s="306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065" t="s">
        <v>2287</v>
      </c>
      <c r="F94" s="3066"/>
      <c r="G94" s="3066"/>
      <c r="H94" s="306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38046</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165.41739130434783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22747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2288</v>
      </c>
      <c r="B99" s="2413"/>
      <c r="C99" s="2413"/>
      <c r="D99" s="2413"/>
      <c r="E99" s="2160"/>
      <c r="F99" s="2160"/>
      <c r="G99" s="2160"/>
      <c r="H99" s="2159"/>
      <c r="I99" s="138"/>
    </row>
    <row r="100" spans="1:35" ht="18.75" customHeight="1">
      <c r="A100" s="3039" t="s">
        <v>2289</v>
      </c>
      <c r="B100" s="3040"/>
      <c r="C100" s="3040"/>
      <c r="D100" s="3056"/>
      <c r="E100" s="3040" t="s">
        <v>2290</v>
      </c>
      <c r="F100" s="3040"/>
      <c r="G100" s="3040"/>
      <c r="H100" s="3056"/>
      <c r="I100" s="138"/>
    </row>
    <row r="101" spans="1:35" ht="18.75" customHeight="1">
      <c r="A101" s="3118" t="s">
        <v>2291</v>
      </c>
      <c r="B101" s="3119"/>
      <c r="C101" s="736" t="str">
        <f>C4</f>
        <v>比较法-商业</v>
      </c>
      <c r="D101" s="737" t="str">
        <f>D4</f>
        <v>收益法</v>
      </c>
      <c r="E101" s="3132" t="s">
        <v>2292</v>
      </c>
      <c r="F101" s="3086"/>
      <c r="G101" s="2515" t="s">
        <v>2293</v>
      </c>
      <c r="H101" s="1045">
        <f ca="1">H118</f>
        <v>40190</v>
      </c>
      <c r="I101" s="138"/>
    </row>
    <row r="102" spans="1:35" ht="18.75" customHeight="1">
      <c r="A102" s="3088" t="s">
        <v>2294</v>
      </c>
      <c r="B102" s="2515" t="s">
        <v>2293</v>
      </c>
      <c r="C102" s="736">
        <f ca="1">C19</f>
        <v>46716</v>
      </c>
      <c r="D102" s="737">
        <f ca="1">D19</f>
        <v>21617</v>
      </c>
      <c r="E102" s="3132"/>
      <c r="F102" s="3086"/>
      <c r="G102" s="2515" t="s">
        <v>2295</v>
      </c>
      <c r="H102" s="371">
        <f ca="1">I118</f>
        <v>38872</v>
      </c>
      <c r="I102" s="138"/>
    </row>
    <row r="103" spans="1:35" ht="42.75" customHeight="1">
      <c r="A103" s="3088"/>
      <c r="B103" s="2515" t="s">
        <v>2295</v>
      </c>
      <c r="C103" s="738">
        <f ca="1">C20</f>
        <v>45185</v>
      </c>
      <c r="D103" s="739">
        <f ca="1">D20</f>
        <v>20908</v>
      </c>
      <c r="E103" s="3127" t="s">
        <v>2296</v>
      </c>
      <c r="F103" s="3128"/>
      <c r="G103" s="2516" t="s">
        <v>2297</v>
      </c>
      <c r="H103" s="1045">
        <f>IF(D36="正常操作",H104+H105+H106,H105+H106)</f>
        <v>0</v>
      </c>
      <c r="I103" s="138"/>
    </row>
    <row r="104" spans="1:35" ht="18.75" customHeight="1">
      <c r="A104" s="3088" t="s">
        <v>2298</v>
      </c>
      <c r="B104" s="2517" t="s">
        <v>2293</v>
      </c>
      <c r="C104" s="740">
        <f ca="1">H118</f>
        <v>40190</v>
      </c>
      <c r="D104" s="741"/>
      <c r="E104" s="2261" t="s">
        <v>2299</v>
      </c>
      <c r="F104" s="2252"/>
      <c r="G104" s="2516" t="s">
        <v>2297</v>
      </c>
      <c r="H104" s="1046">
        <f>IF(D36="同一抵押权人同一抵押物续贷",C36&amp;"（未扣减，详见特别提示）",C36)</f>
        <v>0</v>
      </c>
      <c r="I104" s="138"/>
    </row>
    <row r="105" spans="1:35" ht="18.75" customHeight="1" thickBot="1">
      <c r="A105" s="3089"/>
      <c r="B105" s="2518" t="s">
        <v>2295</v>
      </c>
      <c r="C105" s="742">
        <f ca="1">I118</f>
        <v>38872</v>
      </c>
      <c r="D105" s="743"/>
      <c r="E105" s="2261" t="s">
        <v>2300</v>
      </c>
      <c r="F105" s="2252"/>
      <c r="G105" s="2516" t="s">
        <v>2297</v>
      </c>
      <c r="H105" s="1046">
        <f>C37</f>
        <v>0</v>
      </c>
      <c r="I105" s="138"/>
    </row>
    <row r="106" spans="1:35" ht="18.75" customHeight="1">
      <c r="A106" s="2413" t="s">
        <v>2301</v>
      </c>
      <c r="B106" s="2413"/>
      <c r="C106" s="2413"/>
      <c r="D106" s="2413"/>
      <c r="E106" s="2519" t="s">
        <v>2302</v>
      </c>
      <c r="F106" s="2252"/>
      <c r="G106" s="2516" t="s">
        <v>2297</v>
      </c>
      <c r="H106" s="1046">
        <f>C38</f>
        <v>0</v>
      </c>
      <c r="I106" s="138"/>
    </row>
    <row r="107" spans="1:35" ht="18.75" customHeight="1">
      <c r="A107" s="138"/>
      <c r="B107" s="138"/>
      <c r="C107" s="138"/>
      <c r="D107" s="138"/>
      <c r="E107" s="3085" t="str">
        <f>IF(项目基本情况!E8="已注销","——","3.房地产抵押价值")</f>
        <v>3.房地产抵押价值</v>
      </c>
      <c r="F107" s="3086"/>
      <c r="G107" s="2515" t="s">
        <v>2293</v>
      </c>
      <c r="H107" s="1045">
        <f ca="1">IF(E107="——","——",H101-H103)</f>
        <v>40190</v>
      </c>
      <c r="I107" s="138"/>
    </row>
    <row r="108" spans="1:35" ht="18.75" customHeight="1">
      <c r="A108" s="138"/>
      <c r="B108" s="138"/>
      <c r="C108" s="138"/>
      <c r="D108" s="138"/>
      <c r="E108" s="3085"/>
      <c r="F108" s="3086"/>
      <c r="G108" s="2515" t="s">
        <v>2295</v>
      </c>
      <c r="H108" s="371">
        <f ca="1">ROUND(H107*10000/'数据-汇总表'!E3,0)</f>
        <v>38872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15" t="s">
        <v>2293</v>
      </c>
      <c r="H109" s="348" t="str">
        <f>IF(E109="——","——",H101-H105-H106)</f>
        <v>——</v>
      </c>
      <c r="I109" s="138"/>
    </row>
    <row r="110" spans="1:35" ht="18.75" customHeight="1">
      <c r="A110" s="138"/>
      <c r="B110" s="138"/>
      <c r="C110" s="138"/>
      <c r="D110" s="138"/>
      <c r="E110" s="3085"/>
      <c r="F110" s="3086"/>
      <c r="G110" s="2515" t="s">
        <v>2295</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15" t="s">
        <v>2293</v>
      </c>
      <c r="H111" s="1045" t="str">
        <f>IF(E111="——","——",N59)</f>
        <v>——</v>
      </c>
      <c r="I111" s="138"/>
    </row>
    <row r="112" spans="1:35" ht="18.75" customHeight="1" thickBot="1">
      <c r="A112" s="138"/>
      <c r="B112" s="138"/>
      <c r="C112" s="138"/>
      <c r="D112" s="138"/>
      <c r="E112" s="3122"/>
      <c r="F112" s="3123"/>
      <c r="G112" s="2520" t="s">
        <v>2295</v>
      </c>
      <c r="H112" s="790" t="str">
        <f>IF(E111="——","——",N61)</f>
        <v>——</v>
      </c>
      <c r="I112" s="138"/>
    </row>
    <row r="113" spans="1:11" ht="18.75" customHeight="1">
      <c r="A113" s="138"/>
      <c r="B113" s="138"/>
      <c r="C113" s="138"/>
      <c r="D113" s="138"/>
      <c r="E113" s="3090" t="s">
        <v>2301</v>
      </c>
      <c r="F113" s="3090"/>
      <c r="G113" s="3090"/>
      <c r="H113" s="3090"/>
      <c r="I113" s="138"/>
    </row>
    <row r="114" spans="1:11" ht="3.75" customHeight="1">
      <c r="A114" s="2413"/>
      <c r="B114" s="2413"/>
      <c r="C114" s="2413"/>
      <c r="D114" s="2413"/>
      <c r="E114" s="2491"/>
      <c r="F114" s="2491"/>
      <c r="G114" s="2491"/>
      <c r="H114" s="2491"/>
      <c r="I114" s="2413"/>
    </row>
    <row r="115" spans="1:11" ht="18.75" customHeight="1">
      <c r="A115" s="3103" t="s">
        <v>2303</v>
      </c>
      <c r="B115" s="3104"/>
      <c r="C115" s="3104"/>
      <c r="D115" s="3104"/>
      <c r="E115" s="3104"/>
      <c r="F115" s="3104"/>
      <c r="G115" s="3104"/>
      <c r="H115" s="3104"/>
      <c r="I115" s="3105"/>
    </row>
    <row r="116" spans="1:11" ht="27" customHeight="1">
      <c r="A116" s="2997" t="s">
        <v>2304</v>
      </c>
      <c r="B116" s="3091" t="s">
        <v>2305</v>
      </c>
      <c r="C116" s="3091" t="s">
        <v>2306</v>
      </c>
      <c r="D116" s="3107" t="s">
        <v>2307</v>
      </c>
      <c r="E116" s="3108"/>
      <c r="F116" s="3099" t="s">
        <v>2308</v>
      </c>
      <c r="G116" s="3099"/>
      <c r="H116" s="2997" t="s">
        <v>2309</v>
      </c>
      <c r="I116" s="2997"/>
    </row>
    <row r="117" spans="1:11" ht="18.75" customHeight="1">
      <c r="A117" s="2997"/>
      <c r="B117" s="3092"/>
      <c r="C117" s="3092"/>
      <c r="D117" s="1795" t="s">
        <v>2310</v>
      </c>
      <c r="E117" s="1795" t="s">
        <v>2311</v>
      </c>
      <c r="F117" s="1795" t="s">
        <v>2310</v>
      </c>
      <c r="G117" s="1795" t="s">
        <v>2312</v>
      </c>
      <c r="H117" s="1795" t="s">
        <v>2310</v>
      </c>
      <c r="I117" s="1795" t="s">
        <v>2312</v>
      </c>
    </row>
    <row r="118" spans="1:11" ht="24.75" customHeight="1">
      <c r="A118" s="2521" t="str">
        <f>项目基本情况!S2</f>
        <v>上海市黄浦区西藏南路518-528号102、202、302室商业房地产</v>
      </c>
      <c r="B118" s="1795">
        <f>M18</f>
        <v>10338.94</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40190</v>
      </c>
      <c r="I118" s="1795">
        <f ca="1">ROUND(IF(D32="楼面单价",C32,H118*10000/B118),0)</f>
        <v>38872</v>
      </c>
    </row>
    <row r="119" spans="1:11" ht="18.75" customHeight="1">
      <c r="A119" s="2997" t="s">
        <v>2313</v>
      </c>
      <c r="B119" s="2997"/>
      <c r="C119" s="2997"/>
      <c r="D119" s="3096" t="e">
        <f ca="1">NUMBERSTRING(INT(D118*10000),2)&amp;"元整"</f>
        <v>#REF!</v>
      </c>
      <c r="E119" s="3098"/>
      <c r="F119" s="3096" t="e">
        <f ca="1">NUMBERSTRING(INT(F118*10000),2)&amp;"元整"</f>
        <v>#REF!</v>
      </c>
      <c r="G119" s="3098"/>
      <c r="H119" s="3096" t="str">
        <f ca="1">NUMBERSTRING(INT(H118*10000),2)&amp;"元整"</f>
        <v>肆亿零壹佰玖拾万元整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18" t="str">
        <f>IF(D120=0,"故，本次评估不存在"&amp;A120,"故，本次评估"&amp;A120&amp;"为人民币"&amp;D120&amp;"万元整。")</f>
        <v>故，本次评估不存在估价师知悉的法定优先受偿款</v>
      </c>
    </row>
    <row r="121" spans="1:11" ht="18.75" customHeight="1">
      <c r="A121" s="3100" t="s">
        <v>2313</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40190</v>
      </c>
      <c r="E122" s="3125"/>
      <c r="F122" s="3125"/>
      <c r="G122" s="3125"/>
      <c r="H122" s="3125"/>
      <c r="I122" s="3126"/>
    </row>
    <row r="123" spans="1:11" ht="18.75" customHeight="1">
      <c r="A123" s="2997" t="s">
        <v>2313</v>
      </c>
      <c r="B123" s="2997"/>
      <c r="C123" s="2997"/>
      <c r="D123" s="3096" t="str">
        <f ca="1">NUMBERSTRING(INT(D122*10000),2)&amp;"元整"</f>
        <v>肆亿零壹佰玖拾万元整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7" t="s">
        <v>2313</v>
      </c>
      <c r="B125" s="2997"/>
      <c r="C125" s="2997"/>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7" t="s">
        <v>2313</v>
      </c>
      <c r="B127" s="2997"/>
      <c r="C127" s="2997"/>
      <c r="D127" s="3096" t="e">
        <f>NUMBERSTRING(INT(D126*10000),2)&amp;"元整"</f>
        <v>#VALUE!</v>
      </c>
      <c r="E127" s="3097"/>
      <c r="F127" s="3097"/>
      <c r="G127" s="3097"/>
      <c r="H127" s="3097"/>
      <c r="I127" s="3098"/>
    </row>
    <row r="128" spans="1:11" ht="21.75" customHeight="1">
      <c r="A128" s="3106" t="s">
        <v>2314</v>
      </c>
      <c r="B128" s="3106"/>
      <c r="C128" s="3106"/>
      <c r="D128" s="3106"/>
      <c r="E128" s="3106"/>
      <c r="F128" s="3106"/>
      <c r="G128" s="3106"/>
      <c r="H128" s="3106"/>
      <c r="I128" s="3106"/>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2317</v>
      </c>
      <c r="G135" s="2539"/>
      <c r="H135" s="2539"/>
      <c r="I135" s="2540" t="s">
        <v>2318</v>
      </c>
    </row>
    <row r="136" spans="1:35" ht="21.75" customHeight="1">
      <c r="A136" s="795"/>
      <c r="B136" s="254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2320</v>
      </c>
    </row>
    <row r="139" spans="1:35" ht="21.75" customHeight="1">
      <c r="A139" s="795"/>
      <c r="B139" s="2541" t="s">
        <v>2321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2320</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3826</v>
      </c>
      <c r="C2" s="243" t="s">
        <v>2324</v>
      </c>
      <c r="D2" s="2544" t="s">
        <v>70</v>
      </c>
      <c r="E2" s="1440"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3701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47"/>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48"/>
      <c r="H9" s="1390"/>
      <c r="I9" s="2549" t="s">
        <v>2340</v>
      </c>
    </row>
    <row r="10" spans="1:9" s="258" customFormat="1" ht="13.5" customHeight="1">
      <c r="A10" s="950" t="s">
        <v>801</v>
      </c>
      <c r="B10" s="268" t="s">
        <v>2341</v>
      </c>
      <c r="C10" s="269">
        <f ca="1">ROUND(D10*E10/10000,0)</f>
        <v>0</v>
      </c>
      <c r="D10" s="1032">
        <f ca="1">IF(B1="",'数据-汇总表'!E6,IF(INDIRECT("'数据-取费表'!c"&amp;$G$1)="住宅",INDIRECT("'数据-取费表'!s"&amp;$G$1),INDIRECT("'数据-取费表'!k"&amp;$G$1)+INDIRECT("'数据-取费表'!s"&amp;$G$1)))</f>
        <v>10338.94</v>
      </c>
      <c r="E10" s="269">
        <f>'数据-取费表'!B28</f>
        <v>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0</v>
      </c>
      <c r="D19" s="1036">
        <f ca="1">D9+D10</f>
        <v>10338.94</v>
      </c>
      <c r="E19" s="255">
        <f>'数据-取费表'!B31</f>
        <v>0</v>
      </c>
      <c r="F19" s="275"/>
      <c r="G19" s="2547"/>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0</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0</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0</v>
      </c>
      <c r="D28" s="279"/>
      <c r="E28" s="280"/>
      <c r="F28" s="290"/>
      <c r="G28" s="291"/>
    </row>
    <row r="29" spans="1:7" s="258" customFormat="1" ht="13.5" customHeight="1">
      <c r="A29" s="951"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4313</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3929</v>
      </c>
      <c r="D34" s="261"/>
      <c r="E34" s="264"/>
      <c r="F34" s="301">
        <f ca="1">IF('数据-取费表'!B24=0,1,IF(B1="",'数据-取费表'!N16,INDIRECT("'数据-取费表'!n"&amp;$G$1)))</f>
        <v>1</v>
      </c>
      <c r="G34" s="263" t="s">
        <v>2387</v>
      </c>
    </row>
    <row r="35" spans="1:7" ht="13.5" customHeight="1">
      <c r="A35" s="951" t="s">
        <v>796</v>
      </c>
      <c r="B35" s="259" t="s">
        <v>2388</v>
      </c>
      <c r="C35" s="264">
        <f ca="1">ROUND(C34*F35,0)</f>
        <v>118</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207</v>
      </c>
      <c r="D37" s="261">
        <f ca="1">D19</f>
        <v>10338.94</v>
      </c>
      <c r="E37" s="293">
        <f>'数据-取费表'!B35</f>
        <v>200</v>
      </c>
      <c r="F37" s="303"/>
      <c r="G37" s="305" t="s">
        <v>2393</v>
      </c>
    </row>
    <row r="38" spans="1:7" ht="13.5" customHeight="1">
      <c r="A38" s="951" t="s">
        <v>799</v>
      </c>
      <c r="B38" s="259" t="s">
        <v>2394</v>
      </c>
      <c r="C38" s="264">
        <f ca="1">ROUND(C34*F38,0)</f>
        <v>59</v>
      </c>
      <c r="D38" s="264"/>
      <c r="E38" s="264"/>
      <c r="F38" s="303">
        <f>'数据-取费表'!B36</f>
        <v>1.4999999999999999E-2</v>
      </c>
      <c r="G38" s="263" t="s">
        <v>2389</v>
      </c>
    </row>
    <row r="39" spans="1:7" s="258" customFormat="1" ht="13.5" customHeight="1">
      <c r="A39" s="299" t="s">
        <v>2395</v>
      </c>
      <c r="B39" s="254" t="s">
        <v>2396</v>
      </c>
      <c r="C39" s="276">
        <f ca="1">ROUND(C33*F20,0)</f>
        <v>86</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209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205</v>
      </c>
      <c r="D42" s="282"/>
      <c r="E42" s="282"/>
      <c r="F42" s="283"/>
      <c r="G42" s="3138" t="s">
        <v>2405</v>
      </c>
    </row>
    <row r="43" spans="1:7" ht="13.5" customHeight="1">
      <c r="A43" s="951" t="s">
        <v>792</v>
      </c>
      <c r="B43" s="259" t="s">
        <v>2406</v>
      </c>
      <c r="C43" s="282">
        <f ca="1">ROUND(IF('数据-取费表'!B22&lt;=1,C39*F22*'数据-取费表'!B21/2,C39*(POWER((1+F22),'数据-取费表'!B21/2)-1)),0)</f>
        <v>4</v>
      </c>
      <c r="D43" s="282"/>
      <c r="E43" s="282"/>
      <c r="F43" s="283"/>
      <c r="G43" s="3139"/>
    </row>
    <row r="44" spans="1:7" ht="13.5" customHeight="1">
      <c r="A44" s="951" t="s">
        <v>793</v>
      </c>
      <c r="B44" s="259" t="s">
        <v>2407</v>
      </c>
      <c r="C44" s="282">
        <f ca="1">ROUND(IF('数据-取费表'!B22&lt;=1,C40*F22*'数据-取费表'!B21/2,C40*(POWER((1+F22),'数据-取费表'!B21/2)-1)),4)</f>
        <v>1E-3</v>
      </c>
      <c r="D44" s="282"/>
      <c r="E44" s="282"/>
      <c r="F44" s="283"/>
      <c r="G44" s="3140"/>
    </row>
    <row r="45" spans="1:7" s="258" customFormat="1" ht="13.5" customHeight="1">
      <c r="A45" s="299" t="s">
        <v>2408</v>
      </c>
      <c r="B45" s="288" t="s">
        <v>2374</v>
      </c>
      <c r="C45" s="289">
        <f ca="1">C46</f>
        <v>440</v>
      </c>
      <c r="D45" s="279">
        <f ca="1">C47</f>
        <v>2E-3</v>
      </c>
      <c r="E45" s="280" t="s">
        <v>2400</v>
      </c>
      <c r="F45" s="290"/>
      <c r="G45" s="291" t="s">
        <v>2409</v>
      </c>
    </row>
    <row r="46" spans="1:7" s="258" customFormat="1" ht="13.5" customHeight="1">
      <c r="A46" s="951" t="s">
        <v>791</v>
      </c>
      <c r="B46" s="292" t="s">
        <v>2410</v>
      </c>
      <c r="C46" s="293">
        <f ca="1">ROUND((C33+C39)*F27,0)</f>
        <v>440</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5465</v>
      </c>
      <c r="D49" s="276"/>
      <c r="E49" s="276"/>
      <c r="F49" s="308"/>
      <c r="G49" s="278" t="s">
        <v>2415</v>
      </c>
    </row>
    <row r="50" spans="1:7" s="302" customFormat="1" ht="24">
      <c r="A50" s="299" t="s">
        <v>2416</v>
      </c>
      <c r="B50" s="254" t="s">
        <v>2417</v>
      </c>
      <c r="C50" s="276"/>
      <c r="D50" s="276"/>
      <c r="E50" s="276"/>
      <c r="F50" s="308">
        <f>IF('数据-取费表'!B24=0,'数据-取费表'!N16,1)</f>
        <v>0.7</v>
      </c>
      <c r="G50" s="291" t="s">
        <v>2418</v>
      </c>
    </row>
    <row r="51" spans="1:7" ht="16.5" customHeight="1">
      <c r="A51" s="299" t="s">
        <v>2419</v>
      </c>
      <c r="B51" s="254" t="s">
        <v>2420</v>
      </c>
      <c r="C51" s="276">
        <f ca="1">ROUND(C49*F50,0)</f>
        <v>3826</v>
      </c>
      <c r="D51" s="276"/>
      <c r="E51" s="276"/>
      <c r="F51" s="308"/>
      <c r="G51" s="278" t="s">
        <v>2421</v>
      </c>
    </row>
    <row r="52" spans="1:7" s="252" customFormat="1" ht="16.5" thickBot="1">
      <c r="A52" s="309" t="s">
        <v>2422</v>
      </c>
      <c r="B52" s="310"/>
      <c r="C52" s="311">
        <f ca="1">C31+C51</f>
        <v>3826</v>
      </c>
      <c r="D52" s="310"/>
      <c r="E52" s="310"/>
      <c r="F52" s="310"/>
      <c r="G52" s="312"/>
    </row>
    <row r="55" spans="1:7" ht="15">
      <c r="B55" s="314" t="s">
        <v>2423</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上海市黄浦区西藏南路518-528号102、202、302室商业房地产抵押价值预评估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1" t="str">
        <f>项目基本情况!B5</f>
        <v>昆仑信托有限责任公司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3825</v>
      </c>
      <c r="C2" s="243" t="s">
        <v>2324</v>
      </c>
      <c r="D2" s="2544" t="s">
        <v>70</v>
      </c>
      <c r="E2" s="1440"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3700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0</v>
      </c>
      <c r="D8" s="266"/>
      <c r="E8" s="264"/>
      <c r="F8" s="265"/>
      <c r="G8" s="254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0</v>
      </c>
      <c r="D10" s="1032">
        <f ca="1">IF(B1="",'数据-汇总表'!E6,IF(INDIRECT("'数据-取费表'!c"&amp;$G$1)="住宅",INDIRECT("'数据-取费表'!s"&amp;$G$1),INDIRECT("'数据-取费表'!k"&amp;$G$1)+INDIRECT("'数据-取费表'!s"&amp;$G$1)))</f>
        <v>10338.94</v>
      </c>
      <c r="E10" s="269">
        <f>'数据-取费表'!B28</f>
        <v>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0</v>
      </c>
      <c r="D19" s="1036">
        <f ca="1">D9+D10</f>
        <v>10338.94</v>
      </c>
      <c r="E19" s="255">
        <f>'数据-取费表'!B31</f>
        <v>0</v>
      </c>
      <c r="F19" s="275"/>
      <c r="G19" s="2547"/>
    </row>
    <row r="20" spans="1:7" s="258" customFormat="1" ht="13.5" customHeight="1">
      <c r="A20" s="299" t="s">
        <v>2435</v>
      </c>
      <c r="B20" s="254" t="s">
        <v>2436</v>
      </c>
      <c r="C20" s="276">
        <f ca="1">ROUND((C5+C19)*F20,0)</f>
        <v>0</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0</v>
      </c>
      <c r="D24" s="282"/>
      <c r="E24" s="282"/>
      <c r="F24" s="283"/>
      <c r="G24" s="284" t="s">
        <v>2447</v>
      </c>
    </row>
    <row r="25" spans="1:7" s="258" customFormat="1" ht="24">
      <c r="A25" s="951" t="s">
        <v>2337</v>
      </c>
      <c r="B25" s="259" t="s">
        <v>2448</v>
      </c>
      <c r="C25" s="1381">
        <f ca="1">ROUND(IF('数据-取费表'!B22&lt;=1,C20*F22*'数据-取费表'!B22/2,C20*(POWER((1+F22),'数据-取费表'!B22/2)-1)),0)</f>
        <v>0</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0</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ROUND((C5+C19+C20)*F27,0)</f>
        <v>0</v>
      </c>
      <c r="D28" s="279"/>
      <c r="E28" s="280"/>
      <c r="F28" s="290"/>
      <c r="G28" s="291"/>
    </row>
    <row r="29" spans="1:7" s="258" customFormat="1" ht="13.5" customHeight="1">
      <c r="A29" s="951" t="s">
        <v>792</v>
      </c>
      <c r="B29" s="292" t="s">
        <v>2378</v>
      </c>
      <c r="C29" s="282">
        <f ca="1">ROUND(C21*F27,4)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43123719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39287972</v>
      </c>
      <c r="D34" s="261"/>
      <c r="E34" s="264"/>
      <c r="F34" s="301"/>
      <c r="G34" s="263"/>
    </row>
    <row r="35" spans="1:7" ht="13.5" customHeight="1">
      <c r="A35" s="951" t="s">
        <v>796</v>
      </c>
      <c r="B35" s="259" t="s">
        <v>2388</v>
      </c>
      <c r="C35" s="264">
        <f ca="1">ROUND(C34*F35,0)</f>
        <v>1178639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2067788</v>
      </c>
      <c r="D37" s="261">
        <f ca="1">D19</f>
        <v>10338.94</v>
      </c>
      <c r="E37" s="293">
        <f>'数据-取费表'!B35</f>
        <v>200</v>
      </c>
      <c r="F37" s="303"/>
      <c r="G37" s="305"/>
    </row>
    <row r="38" spans="1:7" ht="13.5" customHeight="1">
      <c r="A38" s="951" t="s">
        <v>799</v>
      </c>
      <c r="B38" s="259" t="s">
        <v>2394</v>
      </c>
      <c r="C38" s="264">
        <f ca="1">ROUND(C34*F38,0)</f>
        <v>589320</v>
      </c>
      <c r="D38" s="264"/>
      <c r="E38" s="264"/>
      <c r="F38" s="303">
        <f>'数据-取费表'!B36</f>
        <v>1.4999999999999999E-2</v>
      </c>
      <c r="G38" s="263" t="s">
        <v>2389</v>
      </c>
    </row>
    <row r="39" spans="1:7" s="258" customFormat="1" ht="13.5" customHeight="1">
      <c r="A39" s="299" t="s">
        <v>2395</v>
      </c>
      <c r="B39" s="254" t="s">
        <v>2396</v>
      </c>
      <c r="C39" s="276">
        <f ca="1">ROUND(C33*F20,0)</f>
        <v>862474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2089345</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2048377</v>
      </c>
      <c r="D42" s="282"/>
      <c r="E42" s="282"/>
      <c r="F42" s="283"/>
      <c r="G42" s="3138" t="s">
        <v>2452</v>
      </c>
    </row>
    <row r="43" spans="1:7" ht="13.5" customHeight="1">
      <c r="A43" s="951" t="s">
        <v>792</v>
      </c>
      <c r="B43" s="259" t="s">
        <v>2406</v>
      </c>
      <c r="C43" s="282">
        <f ca="1">ROUND(IF('数据-取费表'!B22&lt;=1,C39*F22*'数据-取费表'!B20/2,C39*(POWER((1+F22),'数据-取费表'!B20/2)-1)),0)</f>
        <v>40968</v>
      </c>
      <c r="D43" s="282"/>
      <c r="E43" s="282"/>
      <c r="F43" s="283"/>
      <c r="G43" s="3139"/>
    </row>
    <row r="44" spans="1:7" ht="13.5" customHeight="1">
      <c r="A44" s="951" t="s">
        <v>793</v>
      </c>
      <c r="B44" s="259" t="s">
        <v>2407</v>
      </c>
      <c r="C44" s="282">
        <f ca="1">ROUND(IF('数据-取费表'!B22&lt;=1,C40*F22*'数据-取费表'!B20/2,C40*(POWER((1+F22),'数据-取费表'!B20/2)-1)),4)</f>
        <v>1E-3</v>
      </c>
      <c r="D44" s="282"/>
      <c r="E44" s="282"/>
      <c r="F44" s="283"/>
      <c r="G44" s="3140"/>
    </row>
    <row r="45" spans="1:7" s="258" customFormat="1" ht="13.5" customHeight="1">
      <c r="A45" s="299" t="s">
        <v>2408</v>
      </c>
      <c r="B45" s="288" t="s">
        <v>2374</v>
      </c>
      <c r="C45" s="289">
        <f ca="1">C46</f>
        <v>4398619</v>
      </c>
      <c r="D45" s="279">
        <f ca="1">C47</f>
        <v>2E-3</v>
      </c>
      <c r="E45" s="280" t="s">
        <v>2400</v>
      </c>
      <c r="F45" s="290"/>
      <c r="G45" s="291" t="s">
        <v>2409</v>
      </c>
    </row>
    <row r="46" spans="1:7" s="258" customFormat="1" ht="13.5" customHeight="1">
      <c r="A46" s="951" t="s">
        <v>791</v>
      </c>
      <c r="B46" s="292" t="s">
        <v>2410</v>
      </c>
      <c r="C46" s="293">
        <f ca="1">ROUND((C33+C39)*F27,0)</f>
        <v>4398619</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54643452</v>
      </c>
      <c r="D49" s="276"/>
      <c r="E49" s="276"/>
      <c r="F49" s="308"/>
      <c r="G49" s="278" t="s">
        <v>2415</v>
      </c>
    </row>
    <row r="50" spans="1:7" s="302" customFormat="1">
      <c r="A50" s="299" t="s">
        <v>2416</v>
      </c>
      <c r="B50" s="254" t="s">
        <v>2417</v>
      </c>
      <c r="C50" s="276"/>
      <c r="D50" s="276"/>
      <c r="E50" s="276"/>
      <c r="F50" s="308">
        <f>IF('数据-取费表'!B24=0,'数据-取费表'!N16,1)</f>
        <v>0.7</v>
      </c>
      <c r="G50" s="291"/>
    </row>
    <row r="51" spans="1:7" ht="16.5" customHeight="1">
      <c r="A51" s="299" t="s">
        <v>2419</v>
      </c>
      <c r="B51" s="254" t="s">
        <v>2454</v>
      </c>
      <c r="C51" s="276">
        <f ca="1">ROUND(C49*F50,0)</f>
        <v>38250416</v>
      </c>
      <c r="D51" s="276"/>
      <c r="E51" s="276"/>
      <c r="F51" s="308"/>
      <c r="G51" s="278" t="s">
        <v>2421</v>
      </c>
    </row>
    <row r="52" spans="1:7" s="252" customFormat="1" ht="16.5" thickBot="1">
      <c r="A52" s="309" t="s">
        <v>2422</v>
      </c>
      <c r="B52" s="310"/>
      <c r="C52" s="311">
        <f ca="1">C31+C51</f>
        <v>38250416</v>
      </c>
      <c r="D52" s="310"/>
      <c r="E52" s="310"/>
      <c r="F52" s="310"/>
      <c r="G52" s="312"/>
    </row>
    <row r="55" spans="1:7" ht="15">
      <c r="B55" s="314" t="s">
        <v>2423</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1" t="s">
        <v>2461</v>
      </c>
      <c r="D5" s="2551" t="s">
        <v>2462</v>
      </c>
      <c r="E5" s="2551" t="s">
        <v>2463</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10338.94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10338.94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3"/>
      <c r="H18" s="1577"/>
      <c r="I18" s="255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0</v>
      </c>
      <c r="D20" s="1033">
        <f ca="1">IF(C1="",'数据-汇总表'!E6,IF(INDIRECT("'数据-取费表'!c"&amp;$K$1)="住宅",INDIRECT("'数据-取费表'!s"&amp;$K$1),INDIRECT("'数据-取费表'!k"&amp;$K$1)+INDIRECT("'数据-取费表'!s"&amp;$K$1)))</f>
        <v>10338.94</v>
      </c>
      <c r="E20" s="24">
        <f>'数据-取费表'!B28</f>
        <v>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2505</v>
      </c>
      <c r="B28" s="2556" t="s">
        <v>2506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Normal="100" zoomScaleSheetLayoutView="90" workbookViewId="0">
      <selection activeCell="N10" sqref="N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1373</v>
      </c>
      <c r="D1" s="1820" t="s">
        <v>70</v>
      </c>
      <c r="E1" s="1821" t="s">
        <v>1382</v>
      </c>
      <c r="F1" s="1283">
        <f ca="1">J53</f>
        <v>16.13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21617</v>
      </c>
      <c r="C2" s="1845" t="s">
        <v>1510</v>
      </c>
      <c r="D2" s="1845"/>
      <c r="E2" s="1846"/>
      <c r="F2" s="1847"/>
      <c r="G2" s="1848"/>
      <c r="H2" s="1840"/>
      <c r="I2" s="1840"/>
      <c r="J2" s="1840"/>
      <c r="K2" s="1841"/>
      <c r="L2" s="1840"/>
      <c r="M2" s="1840"/>
    </row>
    <row r="3" spans="1:37" ht="18" customHeight="1" thickBot="1">
      <c r="A3" s="1849" t="s">
        <v>1511</v>
      </c>
      <c r="B3" s="1850">
        <f ca="1">IF(ISERROR(B2*10000/F43),0,ROUND(B2*10000/F43,0))</f>
        <v>20908</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1928</v>
      </c>
      <c r="D5" s="1822" t="s">
        <v>1397</v>
      </c>
      <c r="E5" s="1293"/>
      <c r="F5" s="1294"/>
      <c r="G5" s="1851"/>
      <c r="H5" s="344">
        <v>1</v>
      </c>
      <c r="I5" s="345" t="s">
        <v>1396</v>
      </c>
      <c r="J5" s="1292">
        <f ca="1">J6+J10+J12</f>
        <v>3058</v>
      </c>
      <c r="K5" s="1822" t="s">
        <v>1397</v>
      </c>
      <c r="L5" s="1293"/>
      <c r="M5" s="1294"/>
    </row>
    <row r="6" spans="1:37" ht="18" customHeight="1">
      <c r="A6" s="1291" t="s">
        <v>1032</v>
      </c>
      <c r="B6" s="3143" t="s">
        <v>1398</v>
      </c>
      <c r="C6" s="1296">
        <f ca="1">ROUND(F6*F8*F7*(1-F9)/10000,0)</f>
        <v>1921</v>
      </c>
      <c r="D6" s="164" t="s">
        <v>3028</v>
      </c>
      <c r="E6" s="347" t="s">
        <v>1400</v>
      </c>
      <c r="F6" s="348">
        <f ca="1">INDIRECT("'数据-取费表'!u"&amp;$G$1)</f>
        <v>5.09</v>
      </c>
      <c r="G6" s="1851"/>
      <c r="H6" s="1291" t="s">
        <v>1032</v>
      </c>
      <c r="I6" s="3143" t="s">
        <v>1398</v>
      </c>
      <c r="J6" s="346">
        <f ca="1">ROUND(M6*M8*M7*(1-M9)/10000,0)</f>
        <v>3047</v>
      </c>
      <c r="K6" s="164" t="s">
        <v>3027</v>
      </c>
      <c r="L6" s="347" t="s">
        <v>1400</v>
      </c>
      <c r="M6" s="348">
        <f ca="1">INDIRECT("'数据-取费表'!z"&amp;$G$1)</f>
        <v>8.5</v>
      </c>
    </row>
    <row r="7" spans="1:37" ht="18" customHeight="1">
      <c r="A7" s="1295"/>
      <c r="B7" s="3144"/>
      <c r="C7" s="1297"/>
      <c r="D7" s="352"/>
      <c r="E7" s="1298" t="s">
        <v>1401</v>
      </c>
      <c r="F7" s="348">
        <f ca="1">IF(INDIRECT("'数据-取费表'!ah"&amp;$G$1)="",INDIRECT("'数据-取费表'!k"&amp;$G$1),INDIRECT("'数据-取费表'!ah"&amp;$G$1))</f>
        <v>10338.94</v>
      </c>
      <c r="G7" s="1851"/>
      <c r="H7" s="349"/>
      <c r="I7" s="3144"/>
      <c r="J7" s="351"/>
      <c r="K7" s="352"/>
      <c r="L7" s="347" t="s">
        <v>1401</v>
      </c>
      <c r="M7" s="348">
        <f ca="1">F7</f>
        <v>10338.94</v>
      </c>
    </row>
    <row r="8" spans="1:37" ht="18" customHeight="1">
      <c r="A8" s="349"/>
      <c r="B8" s="3144"/>
      <c r="C8" s="351"/>
      <c r="D8" s="352"/>
      <c r="E8" s="347" t="s">
        <v>1402</v>
      </c>
      <c r="F8" s="348">
        <f ca="1">INDIRECT("'数据-取费表'!ai"&amp;$G$1)</f>
        <v>365</v>
      </c>
      <c r="G8" s="1851"/>
      <c r="H8" s="349"/>
      <c r="I8" s="3144"/>
      <c r="J8" s="351"/>
      <c r="K8" s="352"/>
      <c r="L8" s="347" t="s">
        <v>1402</v>
      </c>
      <c r="M8" s="348">
        <f ca="1">INDIRECT("'数据-取费表'!ai"&amp;$G$1)</f>
        <v>365</v>
      </c>
    </row>
    <row r="9" spans="1:37" ht="18" customHeight="1">
      <c r="A9" s="349"/>
      <c r="B9" s="3145"/>
      <c r="C9" s="351"/>
      <c r="D9" s="352"/>
      <c r="E9" s="347" t="s">
        <v>1403</v>
      </c>
      <c r="F9" s="357">
        <f ca="1">INDIRECT("'数据-取费表'!w"&amp;$G$1)</f>
        <v>0</v>
      </c>
      <c r="G9" s="1851"/>
      <c r="H9" s="349"/>
      <c r="I9" s="3145"/>
      <c r="J9" s="351"/>
      <c r="K9" s="352"/>
      <c r="L9" s="358" t="s">
        <v>1403</v>
      </c>
      <c r="M9" s="359">
        <f ca="1">INDIRECT("'数据-取费表'!ab"&amp;$G$1)</f>
        <v>0.05</v>
      </c>
    </row>
    <row r="10" spans="1:37" ht="18" customHeight="1">
      <c r="A10" s="1291" t="s">
        <v>1036</v>
      </c>
      <c r="B10" s="1823" t="s">
        <v>1404</v>
      </c>
      <c r="C10" s="361">
        <f ca="1">ROUND(IF(F10="押一",C6/12*F11,IF(F10="押二",C6/12*2*F11,IF(F10="押三",C6/12*3*F11,C11*F11))),0)</f>
        <v>7</v>
      </c>
      <c r="D10" s="1824" t="s">
        <v>3037</v>
      </c>
      <c r="E10" s="358" t="s">
        <v>1405</v>
      </c>
      <c r="F10" s="1366" t="s">
        <v>3075</v>
      </c>
      <c r="G10" s="1851"/>
      <c r="H10" s="1291" t="s">
        <v>1036</v>
      </c>
      <c r="I10" s="1823" t="s">
        <v>1404</v>
      </c>
      <c r="J10" s="346">
        <f ca="1">ROUND(IF(M10="押一",J6/12*M11,IF(M10="押二",J6/12*2*M11,IF(M10="押三",J6/12*3*M11,J11*M11))),0)</f>
        <v>11</v>
      </c>
      <c r="K10" s="1824" t="s">
        <v>3036</v>
      </c>
      <c r="L10" s="358" t="s">
        <v>1405</v>
      </c>
      <c r="M10" s="1366" t="s">
        <v>3075</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3826</v>
      </c>
      <c r="D13" s="1331" t="s">
        <v>1409</v>
      </c>
      <c r="E13" s="1331" t="s">
        <v>1410</v>
      </c>
      <c r="F13" s="1332">
        <f ca="1">INDIRECT("'数据-取费表'!y"&amp;$G$1)</f>
        <v>0.7</v>
      </c>
      <c r="G13" s="1851"/>
      <c r="H13" s="1329">
        <v>2</v>
      </c>
      <c r="I13" s="1330" t="s">
        <v>1408</v>
      </c>
      <c r="J13" s="1290">
        <f ca="1">ROUND(J14*J15,0)</f>
        <v>3552</v>
      </c>
      <c r="K13" s="1337" t="s">
        <v>1409</v>
      </c>
      <c r="L13" s="1852"/>
      <c r="M13" s="1853"/>
    </row>
    <row r="14" spans="1:37" ht="18" customHeight="1">
      <c r="A14" s="1201" t="s">
        <v>1031</v>
      </c>
      <c r="B14" s="347" t="s">
        <v>1411</v>
      </c>
      <c r="C14" s="363">
        <f ca="1">INDIRECT("'数据-取费表'!m"&amp;$G$1)+INDIRECT("'数据-取费表'!t"&amp;$G$1)</f>
        <v>3929</v>
      </c>
      <c r="D14" s="1800" t="s">
        <v>1412</v>
      </c>
      <c r="E14" s="1794"/>
      <c r="F14" s="364"/>
      <c r="G14" s="1851"/>
      <c r="H14" s="1201" t="s">
        <v>1032</v>
      </c>
      <c r="I14" s="347" t="s">
        <v>1413</v>
      </c>
      <c r="J14" s="24">
        <f ca="1">C29</f>
        <v>5465</v>
      </c>
      <c r="K14" s="15"/>
      <c r="L14" s="979"/>
      <c r="M14" s="980"/>
    </row>
    <row r="15" spans="1:37" s="1858" customFormat="1" ht="18" customHeight="1" thickBot="1">
      <c r="A15" s="1201" t="s">
        <v>1033</v>
      </c>
      <c r="B15" s="347" t="s">
        <v>1414</v>
      </c>
      <c r="C15" s="24">
        <f ca="1">ROUND(C14*F15,0)</f>
        <v>118</v>
      </c>
      <c r="D15" s="365" t="s">
        <v>1415</v>
      </c>
      <c r="E15" s="365" t="s">
        <v>1416</v>
      </c>
      <c r="F15" s="366">
        <f>'数据-取费表'!B33</f>
        <v>0.03</v>
      </c>
      <c r="G15" s="1854"/>
      <c r="H15" s="1339" t="s">
        <v>1036</v>
      </c>
      <c r="I15" s="1340" t="s">
        <v>1410</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717</v>
      </c>
      <c r="K16" s="1337" t="s">
        <v>1419</v>
      </c>
      <c r="L16" s="1338"/>
      <c r="M16" s="1294"/>
    </row>
    <row r="17" spans="1:37" s="1858" customFormat="1" ht="18" customHeight="1">
      <c r="A17" s="1201" t="s">
        <v>1385</v>
      </c>
      <c r="B17" s="347" t="s">
        <v>1420</v>
      </c>
      <c r="C17" s="24">
        <f ca="1">ROUND(F17*(F43+INDIRECT("'数据-取费表'!S"&amp;$G$1))/10000,0)</f>
        <v>207</v>
      </c>
      <c r="D17" s="347" t="s">
        <v>1421</v>
      </c>
      <c r="E17" s="347" t="s">
        <v>1422</v>
      </c>
      <c r="F17" s="26">
        <f>'数据-取费表'!B35</f>
        <v>200</v>
      </c>
      <c r="G17" s="1854"/>
      <c r="H17" s="1201" t="s">
        <v>1032</v>
      </c>
      <c r="I17" s="347" t="s">
        <v>1423</v>
      </c>
      <c r="J17" s="24">
        <f ca="1">ROUND(IF(项目基本情况!B11="自然人",J6*M17/(1+'数据-取费表'!C42),J18+J19+J20),1)</f>
        <v>510.7</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59</v>
      </c>
      <c r="D18" s="347" t="s">
        <v>1415</v>
      </c>
      <c r="E18" s="347" t="s">
        <v>1416</v>
      </c>
      <c r="F18" s="367">
        <f>'数据-取费表'!B36</f>
        <v>1.4999999999999999E-2</v>
      </c>
      <c r="G18" s="1854"/>
      <c r="H18" s="1201" t="s">
        <v>1031</v>
      </c>
      <c r="I18" s="347" t="s">
        <v>1427</v>
      </c>
      <c r="J18" s="24">
        <f ca="1">ROUND(J6*M18/(1+'数据-取费表'!C42),2)</f>
        <v>162.51</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4313</v>
      </c>
      <c r="D19" s="140" t="s">
        <v>1430</v>
      </c>
      <c r="E19" s="1818"/>
      <c r="F19" s="26"/>
      <c r="G19" s="1851"/>
      <c r="H19" s="1201" t="s">
        <v>1033</v>
      </c>
      <c r="I19" s="347" t="s">
        <v>1431</v>
      </c>
      <c r="J19" s="24">
        <f ca="1">IF(K19="按租金收入计税",ROUND(J6*M19/(1+'数据-取费表'!C42),2),ROUND(C29*M19*0.7,2))</f>
        <v>348.23</v>
      </c>
      <c r="K19" s="1828" t="s">
        <v>3060</v>
      </c>
      <c r="L19" s="347" t="s">
        <v>1416</v>
      </c>
      <c r="M19" s="367">
        <f>IF(K19="按租金收入计税",'数据-取费表'!B51,'数据-取费表'!B50)</f>
        <v>0.12</v>
      </c>
    </row>
    <row r="20" spans="1:37" s="1858" customFormat="1" ht="18" customHeight="1">
      <c r="A20" s="1201" t="s">
        <v>1036</v>
      </c>
      <c r="B20" s="347" t="s">
        <v>1433</v>
      </c>
      <c r="C20" s="24">
        <f ca="1">ROUND(C19*F20,0)</f>
        <v>86</v>
      </c>
      <c r="D20" s="369" t="s">
        <v>1434</v>
      </c>
      <c r="E20" s="347" t="s">
        <v>1416</v>
      </c>
      <c r="F20" s="367">
        <f>'数据-取费表'!B37</f>
        <v>0.02</v>
      </c>
      <c r="G20" s="1854"/>
      <c r="H20" s="1201" t="s">
        <v>1384</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109.3</v>
      </c>
      <c r="K22" s="1798" t="s">
        <v>1444</v>
      </c>
      <c r="L22" s="347" t="s">
        <v>1416</v>
      </c>
      <c r="M22" s="374">
        <f ca="1">INDIRECT("'数据-取费表'!Ak"&amp;$G$1)</f>
        <v>0.02</v>
      </c>
    </row>
    <row r="23" spans="1:37" s="1858" customFormat="1" ht="18" customHeight="1">
      <c r="A23" s="1201" t="s">
        <v>1031</v>
      </c>
      <c r="B23" s="347" t="s">
        <v>1445</v>
      </c>
      <c r="C23" s="24">
        <f ca="1">IF('数据-取费表'!B22&lt;=1,ROUND(C19*F24*F23/2,0)+ROUND(C20*F24*F23/2,0),ROUND(C19*(POWER((1+F24),F23/2)-1),0)+ROUND(C20*(POWER((1+F24),F23/2)-1),0))</f>
        <v>209</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35.5</v>
      </c>
      <c r="K23" s="1798" t="s">
        <v>1448</v>
      </c>
      <c r="L23" s="347" t="s">
        <v>1449</v>
      </c>
      <c r="M23" s="376">
        <f ca="1">INDIRECT("'数据-取费表'!Al"&amp;$G$1)</f>
        <v>0.01</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61.2</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2341</v>
      </c>
      <c r="K25" s="1345" t="s">
        <v>1458</v>
      </c>
      <c r="L25" s="1346"/>
      <c r="M25" s="1347"/>
    </row>
    <row r="26" spans="1:37">
      <c r="A26" s="1201" t="s">
        <v>1031</v>
      </c>
      <c r="B26" s="347" t="s">
        <v>1459</v>
      </c>
      <c r="C26" s="24">
        <f ca="1">ROUND((C19+C20)*F26,0)</f>
        <v>440</v>
      </c>
      <c r="D26" s="369" t="s">
        <v>1460</v>
      </c>
      <c r="E26" s="358" t="s">
        <v>1461</v>
      </c>
      <c r="F26" s="357">
        <f ca="1">INDIRECT("'数据-取费表'!q"&amp;$G$1)</f>
        <v>0.1</v>
      </c>
      <c r="G26" s="1851"/>
      <c r="H26" s="344" t="s">
        <v>1029</v>
      </c>
      <c r="I26" s="345" t="s">
        <v>1462</v>
      </c>
      <c r="J26" s="346">
        <f ca="1">IF(J5&lt;&gt;0,ROUND(J25*(1-((1+M28)/(1+M26))^M27)/(M26-M28),0),0)</f>
        <v>13438</v>
      </c>
      <c r="K26" s="370" t="s">
        <v>1463</v>
      </c>
      <c r="L26" s="347" t="s">
        <v>1464</v>
      </c>
      <c r="M26" s="357">
        <f ca="1">INDIRECT("'数据-取费表'!I"&amp;$G$1)</f>
        <v>5.5E-2</v>
      </c>
    </row>
    <row r="27" spans="1:37" ht="18" customHeight="1">
      <c r="A27" s="1201" t="s">
        <v>1033</v>
      </c>
      <c r="B27" s="347" t="s">
        <v>1465</v>
      </c>
      <c r="C27" s="24">
        <f ca="1">ROUND(F21*F26,4)</f>
        <v>2E-3</v>
      </c>
      <c r="D27" s="369" t="s">
        <v>1466</v>
      </c>
      <c r="E27" s="365"/>
      <c r="F27" s="366"/>
      <c r="G27" s="1851"/>
      <c r="H27" s="349"/>
      <c r="I27" s="350"/>
      <c r="J27" s="351"/>
      <c r="K27" s="378" t="s">
        <v>1467</v>
      </c>
      <c r="L27" s="347" t="s">
        <v>1468</v>
      </c>
      <c r="M27" s="379">
        <f ca="1">INDIRECT("'数据-取费表'!ag"&amp;$G$1)</f>
        <v>6.129999999999999</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0.05</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5465</v>
      </c>
      <c r="D29" s="1342"/>
      <c r="E29" s="1340"/>
      <c r="F29" s="1343"/>
      <c r="G29" s="1854"/>
      <c r="H29" s="380" t="s">
        <v>1030</v>
      </c>
      <c r="I29" s="381" t="s">
        <v>1473</v>
      </c>
      <c r="J29" s="382">
        <f ca="1">ROUND(J26/(1+F40)^F41,0)</f>
        <v>7867</v>
      </c>
      <c r="K29" s="383" t="s">
        <v>1474</v>
      </c>
      <c r="L29" s="384"/>
      <c r="M29" s="385">
        <f ca="1">INDIRECT("'数据-取费表'!k"&amp;$G$1)</f>
        <v>10338.94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508</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322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102.45</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219.54</v>
      </c>
      <c r="D33" s="1828" t="s">
        <v>3060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ROUND(C29*F36,1)</f>
        <v>109.3</v>
      </c>
      <c r="D36" s="1798" t="s">
        <v>1476</v>
      </c>
      <c r="E36" s="347" t="s">
        <v>1416</v>
      </c>
      <c r="F36" s="374">
        <f ca="1">INDIRECT("'数据-取费表'!Ak"&amp;$G$1)</f>
        <v>0.02</v>
      </c>
      <c r="G36" s="1851"/>
      <c r="H36" s="1859"/>
      <c r="I36" s="1860"/>
      <c r="J36" s="1861"/>
      <c r="K36" s="751"/>
      <c r="L36" s="1859"/>
      <c r="M36" s="1859"/>
    </row>
    <row r="37" spans="1:18" ht="18" customHeight="1">
      <c r="A37" s="1201" t="s">
        <v>1072</v>
      </c>
      <c r="B37" s="347" t="s">
        <v>1447</v>
      </c>
      <c r="C37" s="24">
        <f ca="1">ROUND(C13*F37,1)</f>
        <v>38.299999999999997</v>
      </c>
      <c r="D37" s="1798" t="s">
        <v>1448</v>
      </c>
      <c r="E37" s="347" t="s">
        <v>1449</v>
      </c>
      <c r="F37" s="376">
        <f ca="1">INDIRECT("'数据-取费表'!Al"&amp;$G$1)</f>
        <v>0.01</v>
      </c>
      <c r="G37" s="1851"/>
      <c r="H37" s="1859"/>
      <c r="I37" s="1860"/>
      <c r="J37" s="1861"/>
      <c r="K37" s="751"/>
      <c r="L37" s="1859"/>
      <c r="M37" s="1859"/>
    </row>
    <row r="38" spans="1:18" ht="18" customHeight="1" thickBot="1">
      <c r="A38" s="1339" t="s">
        <v>1388</v>
      </c>
      <c r="B38" s="1340" t="s">
        <v>1433</v>
      </c>
      <c r="C38" s="1341">
        <f ca="1">ROUND(C5*F38,1)</f>
        <v>38.6</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1420</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13750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10</v>
      </c>
      <c r="G41" s="1851"/>
      <c r="H41" s="732"/>
      <c r="I41" s="1860"/>
      <c r="J41" s="1861"/>
      <c r="K41" s="751"/>
      <c r="L41" s="732"/>
      <c r="M41" s="732"/>
    </row>
    <row r="42" spans="1:18" ht="18" customHeight="1">
      <c r="A42" s="353"/>
      <c r="B42" s="354"/>
      <c r="C42" s="355"/>
      <c r="D42" s="373"/>
      <c r="E42" s="347" t="s">
        <v>1471</v>
      </c>
      <c r="F42" s="357">
        <f ca="1">INDIRECT("'数据-取费表'!v"&amp;$G$1)</f>
        <v>0.06</v>
      </c>
      <c r="G42" s="1851"/>
      <c r="H42" s="732"/>
      <c r="I42" s="1860"/>
      <c r="J42" s="1861"/>
      <c r="K42" s="751"/>
      <c r="L42" s="732"/>
      <c r="M42" s="732"/>
    </row>
    <row r="43" spans="1:18" ht="18" customHeight="1" thickBot="1">
      <c r="A43" s="380" t="s">
        <v>1030</v>
      </c>
      <c r="B43" s="381" t="s">
        <v>1481</v>
      </c>
      <c r="C43" s="382">
        <f ca="1">ROUND(C40*10000/F43,0)</f>
        <v>13299</v>
      </c>
      <c r="D43" s="383" t="s">
        <v>1482</v>
      </c>
      <c r="E43" s="384" t="s">
        <v>1483</v>
      </c>
      <c r="F43" s="385">
        <f ca="1">INDIRECT("'数据-取费表'!k"&amp;$G$1)</f>
        <v>10338.94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-18325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3061</v>
      </c>
      <c r="K47" s="1882" t="s">
        <v>1521</v>
      </c>
      <c r="L47" s="1883">
        <f ca="1">INDIRECT("'数据-取费表'!d"&amp;$G$1)</f>
        <v>40</v>
      </c>
      <c r="M47" s="1838" t="str">
        <f>IF(ISNUMBER(FIND("住宅",C1)),"住宅","非住宅")</f>
        <v>非住宅</v>
      </c>
      <c r="O47" s="1884" t="s">
        <v>1037</v>
      </c>
      <c r="P47" s="1885" t="s">
        <v>1522</v>
      </c>
      <c r="Q47" s="1886">
        <f ca="1">C40+J29</f>
        <v>21617</v>
      </c>
      <c r="R47" s="1886" t="s">
        <v>1523</v>
      </c>
    </row>
    <row r="48" spans="1:18" s="1842" customFormat="1" ht="28.5" thickBot="1">
      <c r="A48" s="1360" t="s">
        <v>1132</v>
      </c>
      <c r="B48" s="345" t="s">
        <v>1396</v>
      </c>
      <c r="C48" s="1817">
        <f ca="1">C49+C53+C55</f>
        <v>0</v>
      </c>
      <c r="D48" s="1362"/>
      <c r="E48" s="1363"/>
      <c r="F48" s="1181"/>
      <c r="G48" s="792"/>
      <c r="H48" s="793"/>
      <c r="I48" s="1887" t="s">
        <v>1524</v>
      </c>
      <c r="J48" s="1888" t="s">
        <v>3062</v>
      </c>
      <c r="K48" s="1889" t="s">
        <v>1525</v>
      </c>
      <c r="L48" s="1890">
        <f ca="1">INDIRECT("'数据-取费表'!f"&amp;$G$1)</f>
        <v>16.13</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3029</v>
      </c>
      <c r="E49" s="1830" t="s">
        <v>1485</v>
      </c>
      <c r="F49" s="1281"/>
      <c r="G49" s="1891"/>
      <c r="H49" s="793"/>
      <c r="I49" s="1887" t="s">
        <v>1528</v>
      </c>
      <c r="J49" s="1892">
        <v>1997</v>
      </c>
      <c r="K49" s="1889" t="s">
        <v>1529</v>
      </c>
      <c r="L49" s="1893"/>
      <c r="O49" s="1894" t="s">
        <v>1039</v>
      </c>
      <c r="P49" s="1885" t="s">
        <v>1530</v>
      </c>
      <c r="Q49" s="1886">
        <f ca="1">C29</f>
        <v>5465</v>
      </c>
      <c r="R49" s="1886" t="s">
        <v>1523</v>
      </c>
    </row>
    <row r="50" spans="1:18" s="1842" customFormat="1" ht="13.5" thickBot="1">
      <c r="A50" s="1195"/>
      <c r="B50" s="1198"/>
      <c r="C50" s="1368"/>
      <c r="D50" s="1172"/>
      <c r="E50" s="1277" t="s">
        <v>1401</v>
      </c>
      <c r="F50" s="1278">
        <f ca="1">F7</f>
        <v>10338.94</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38</v>
      </c>
      <c r="K51" s="1900" t="s">
        <v>1535</v>
      </c>
      <c r="L51" s="1901">
        <f ca="1">ROUND(-PV(INDIRECT("'数据-取费表'!h"&amp;$G$1),L48,(C39-C13*C76),0),0)</f>
        <v>11929</v>
      </c>
      <c r="M51" s="1902"/>
      <c r="O51" s="1894" t="s">
        <v>1041</v>
      </c>
      <c r="P51" s="1885" t="s">
        <v>1536</v>
      </c>
      <c r="Q51" s="1897">
        <f>J52</f>
        <v>0.09</v>
      </c>
      <c r="R51" s="1886"/>
    </row>
    <row r="52" spans="1:18" s="1842" customFormat="1" ht="13.5" thickBot="1">
      <c r="A52" s="1196"/>
      <c r="B52" s="1198"/>
      <c r="C52" s="1199"/>
      <c r="D52" s="1172"/>
      <c r="E52" s="1200" t="s">
        <v>1403</v>
      </c>
      <c r="F52" s="1275"/>
      <c r="I52" s="1903" t="s">
        <v>1537</v>
      </c>
      <c r="J52" s="1904">
        <v>0.09</v>
      </c>
      <c r="K52" s="1903" t="s">
        <v>1538</v>
      </c>
      <c r="L52" s="1904"/>
      <c r="O52" s="1894" t="s">
        <v>1042</v>
      </c>
      <c r="P52" s="1885" t="s">
        <v>1539</v>
      </c>
      <c r="Q52" s="1886">
        <f ca="1">J53</f>
        <v>16.13</v>
      </c>
      <c r="R52" s="1886" t="s">
        <v>1540</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1541</v>
      </c>
      <c r="J53" s="2947">
        <f ca="1">IF(M47="住宅",IF(D1="——",MAX(J51,L48),MAX(J51,L48-'数据-取费表'!B24)),IF(D1="——",MIN(J51,L48),MIN(J51,L48-'数据-取费表'!B24)))</f>
        <v>16.13</v>
      </c>
      <c r="K53" s="3141" t="s">
        <v>1542</v>
      </c>
      <c r="L53" s="3142"/>
      <c r="O53" s="1884" t="s">
        <v>1043</v>
      </c>
      <c r="P53" s="1885" t="s">
        <v>1543</v>
      </c>
      <c r="Q53" s="1886">
        <f ca="1">Q47+Q48</f>
        <v>21617</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3826</v>
      </c>
      <c r="D56" s="1913"/>
      <c r="E56" s="1914"/>
      <c r="F56" s="1906"/>
      <c r="I56" s="1915" t="s">
        <v>1548</v>
      </c>
      <c r="J56" s="1916" t="s">
        <v>3055</v>
      </c>
      <c r="K56" s="1887" t="s">
        <v>1549</v>
      </c>
      <c r="L56" s="1890" t="str">
        <f ca="1">IF(L48&lt;J51,"——",L48-J53)</f>
        <v>——</v>
      </c>
      <c r="O56" s="1884" t="s">
        <v>1037</v>
      </c>
      <c r="P56" s="1885" t="s">
        <v>1522</v>
      </c>
      <c r="Q56" s="1886">
        <f ca="1">C40+J29</f>
        <v>21617</v>
      </c>
      <c r="R56" s="1886" t="s">
        <v>1523</v>
      </c>
    </row>
    <row r="57" spans="1:18" s="1842" customFormat="1" ht="24.75" thickBot="1">
      <c r="A57" s="1917"/>
      <c r="B57" s="1169" t="s">
        <v>1472</v>
      </c>
      <c r="C57" s="282">
        <f ca="1">C29</f>
        <v>5465</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607</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459.1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459.06</v>
      </c>
      <c r="D61" s="1828" t="s">
        <v>1432</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1043</v>
      </c>
      <c r="P62" s="1885" t="s">
        <v>1569</v>
      </c>
      <c r="Q62" s="1886">
        <f ca="1">Q56+Q57</f>
        <v>21617</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109.3</v>
      </c>
      <c r="D64" s="1183" t="s">
        <v>1496</v>
      </c>
      <c r="E64" s="1169" t="s">
        <v>1488</v>
      </c>
      <c r="F64" s="374">
        <f t="shared" ca="1" si="0"/>
        <v>0.02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38.299999999999997</v>
      </c>
      <c r="D65" s="1183" t="s">
        <v>1448</v>
      </c>
      <c r="E65" s="1169" t="s">
        <v>1449</v>
      </c>
      <c r="F65" s="376">
        <f t="shared" ca="1" si="0"/>
        <v>0.01</v>
      </c>
      <c r="I65" s="1928" t="s">
        <v>1573</v>
      </c>
      <c r="J65" s="1929">
        <v>40</v>
      </c>
      <c r="K65" s="1929">
        <v>30</v>
      </c>
      <c r="L65" s="1929">
        <v>50</v>
      </c>
      <c r="M65" s="1931">
        <v>0.02</v>
      </c>
      <c r="O65" s="1884" t="s">
        <v>1037</v>
      </c>
      <c r="P65" s="1885" t="s">
        <v>1574</v>
      </c>
      <c r="Q65" s="1886">
        <f ca="1">C40+J29</f>
        <v>21617</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-607</v>
      </c>
      <c r="D67" s="1182" t="s">
        <v>1458</v>
      </c>
      <c r="E67" s="1187"/>
      <c r="F67" s="1188"/>
      <c r="O67" s="1894" t="s">
        <v>1039</v>
      </c>
      <c r="P67" s="1885" t="s">
        <v>1556</v>
      </c>
      <c r="Q67" s="1932">
        <f ca="1">L51</f>
        <v>11929</v>
      </c>
      <c r="R67" s="1886" t="s">
        <v>1576</v>
      </c>
    </row>
    <row r="68" spans="1:18" s="1842" customFormat="1" ht="16.5" thickBot="1">
      <c r="A68" s="1166" t="s">
        <v>1029</v>
      </c>
      <c r="B68" s="1167" t="s">
        <v>1479</v>
      </c>
      <c r="C68" s="346">
        <f ca="1">ROUND(C67*(1-((1+F70)/(1+F68))^F69)/(F68-F70),0)</f>
        <v>-4575</v>
      </c>
      <c r="D68" s="1184" t="s">
        <v>1463</v>
      </c>
      <c r="E68" s="1169" t="s">
        <v>1464</v>
      </c>
      <c r="F68" s="357">
        <f ca="1">F40</f>
        <v>5.5E-2</v>
      </c>
      <c r="O68" s="1894" t="s">
        <v>1040</v>
      </c>
      <c r="P68" s="1933" t="s">
        <v>1577</v>
      </c>
      <c r="Q68" s="1886">
        <f ca="1">ROUND(Q69-Q70*Q71,0)</f>
        <v>1095</v>
      </c>
      <c r="R68" s="1886" t="s">
        <v>1048</v>
      </c>
    </row>
    <row r="69" spans="1:18" s="1842" customFormat="1" ht="13.5" thickBot="1">
      <c r="A69" s="1170"/>
      <c r="B69" s="1171"/>
      <c r="C69" s="351"/>
      <c r="D69" s="1189" t="s">
        <v>1467</v>
      </c>
      <c r="E69" s="1169" t="s">
        <v>1468</v>
      </c>
      <c r="F69" s="379">
        <f ca="1">F41</f>
        <v>10</v>
      </c>
      <c r="O69" s="1894" t="s">
        <v>1045</v>
      </c>
      <c r="P69" s="1933" t="s">
        <v>1578</v>
      </c>
      <c r="Q69" s="1886">
        <f ca="1">C39</f>
        <v>1420</v>
      </c>
      <c r="R69" s="1886" t="s">
        <v>1523</v>
      </c>
    </row>
    <row r="70" spans="1:18" s="1842" customFormat="1" ht="13.5" thickBot="1">
      <c r="A70" s="1173"/>
      <c r="B70" s="1174"/>
      <c r="C70" s="355"/>
      <c r="D70" s="1185"/>
      <c r="E70" s="1169" t="s">
        <v>1471</v>
      </c>
      <c r="F70" s="1275"/>
      <c r="O70" s="1894" t="s">
        <v>1046</v>
      </c>
      <c r="P70" s="1933" t="s">
        <v>1579</v>
      </c>
      <c r="Q70" s="1886">
        <f ca="1">C13</f>
        <v>3826</v>
      </c>
      <c r="R70" s="1886" t="s">
        <v>1523</v>
      </c>
    </row>
    <row r="71" spans="1:18" s="1842" customFormat="1" ht="13.5" thickBot="1">
      <c r="A71" s="1190" t="s">
        <v>1030</v>
      </c>
      <c r="B71" s="1191" t="s">
        <v>1481</v>
      </c>
      <c r="C71" s="382">
        <f ca="1">ROUND(C68*10000/F71,0)</f>
        <v>-4425</v>
      </c>
      <c r="D71" s="1192" t="s">
        <v>1482</v>
      </c>
      <c r="E71" s="1193" t="s">
        <v>1483</v>
      </c>
      <c r="F71" s="385">
        <f ca="1">F43</f>
        <v>10338.94</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325</v>
      </c>
      <c r="D75" s="1842"/>
      <c r="E75" s="1842"/>
      <c r="F75" s="1842"/>
      <c r="K75" s="1868"/>
      <c r="L75" s="1842"/>
      <c r="O75" s="1884" t="s">
        <v>1043</v>
      </c>
      <c r="P75" s="1885" t="s">
        <v>1543</v>
      </c>
      <c r="Q75" s="1886">
        <f ca="1">Q65+Q66</f>
        <v>21617</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0.77100000000000002</v>
      </c>
    </row>
    <row r="80" spans="1:18">
      <c r="B80" s="386" t="s">
        <v>1505</v>
      </c>
      <c r="C80" s="318">
        <f ca="1">ROUND(C75/C39,3)</f>
        <v>0.22900000000000001</v>
      </c>
    </row>
    <row r="81" spans="2:3">
      <c r="B81" s="314" t="s">
        <v>1506</v>
      </c>
      <c r="C81" s="282"/>
    </row>
    <row r="82" spans="2:3">
      <c r="B82" s="317" t="s">
        <v>1507</v>
      </c>
      <c r="C82" s="319">
        <f ca="1">1-C83</f>
        <v>0.72199999999999998</v>
      </c>
    </row>
    <row r="83" spans="2:3">
      <c r="B83" s="317" t="s">
        <v>1508</v>
      </c>
      <c r="C83" s="318">
        <f ca="1">ROUND(C13/C40,3)</f>
        <v>0.27800000000000002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43" t="s">
        <v>1398</v>
      </c>
      <c r="C6" s="1296">
        <f ca="1">ROUND(F6*F8*F7*(1-F9),0)</f>
        <v>0</v>
      </c>
      <c r="D6" s="164" t="s">
        <v>3025</v>
      </c>
      <c r="E6" s="347" t="s">
        <v>1400</v>
      </c>
      <c r="F6" s="348">
        <f ca="1">INDIRECT("'数据-取费表'!u"&amp;$G$1)</f>
        <v>0</v>
      </c>
      <c r="G6" s="1851"/>
      <c r="H6" s="1291" t="s">
        <v>1032</v>
      </c>
      <c r="I6" s="3143" t="s">
        <v>1398</v>
      </c>
      <c r="J6" s="346">
        <f ca="1">ROUND(M6*M8*M7*(1-M9),0)</f>
        <v>0</v>
      </c>
      <c r="K6" s="1834" t="s">
        <v>3026</v>
      </c>
      <c r="L6" s="347" t="s">
        <v>1400</v>
      </c>
      <c r="M6" s="348">
        <f ca="1">INDIRECT("'数据-取费表'!z"&amp;$G$1)</f>
        <v>0</v>
      </c>
    </row>
    <row r="7" spans="1:37" ht="18" customHeight="1">
      <c r="A7" s="1295"/>
      <c r="B7" s="3144"/>
      <c r="C7" s="1297"/>
      <c r="D7" s="352"/>
      <c r="E7" s="1298" t="s">
        <v>1401</v>
      </c>
      <c r="F7" s="348">
        <f ca="1">IF(INDIRECT("'数据-取费表'!ah"&amp;$G$1)="",INDIRECT("'数据-取费表'!k"&amp;$G$1),INDIRECT("'数据-取费表'!ah"&amp;$G$1))</f>
        <v>0</v>
      </c>
      <c r="G7" s="1851"/>
      <c r="H7" s="349"/>
      <c r="I7" s="3144"/>
      <c r="J7" s="351"/>
      <c r="K7" s="352"/>
      <c r="L7" s="347" t="s">
        <v>1401</v>
      </c>
      <c r="M7" s="348">
        <f ca="1">F7</f>
        <v>0</v>
      </c>
    </row>
    <row r="8" spans="1:37" ht="18" customHeight="1">
      <c r="A8" s="349"/>
      <c r="B8" s="3144"/>
      <c r="C8" s="351"/>
      <c r="D8" s="352"/>
      <c r="E8" s="347" t="s">
        <v>1402</v>
      </c>
      <c r="F8" s="348">
        <f ca="1">INDIRECT("'数据-取费表'!ai"&amp;$G$1)</f>
        <v>0</v>
      </c>
      <c r="G8" s="1851"/>
      <c r="H8" s="349"/>
      <c r="I8" s="3144"/>
      <c r="J8" s="351"/>
      <c r="K8" s="352"/>
      <c r="L8" s="347" t="s">
        <v>1402</v>
      </c>
      <c r="M8" s="348">
        <f ca="1">INDIRECT("'数据-取费表'!ai"&amp;$G$1)</f>
        <v>0</v>
      </c>
    </row>
    <row r="9" spans="1:37" ht="18" customHeight="1">
      <c r="A9" s="349"/>
      <c r="B9" s="3145"/>
      <c r="C9" s="351"/>
      <c r="D9" s="352"/>
      <c r="E9" s="347" t="s">
        <v>1403</v>
      </c>
      <c r="F9" s="357">
        <f ca="1">INDIRECT("'数据-取费表'!w"&amp;$G$1)</f>
        <v>0</v>
      </c>
      <c r="G9" s="1851"/>
      <c r="H9" s="349"/>
      <c r="I9" s="314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1541</v>
      </c>
      <c r="J53" s="2947">
        <f ca="1">IF(M47="住宅",IF(D1="——",MAX(J51,L48),MAX(J51,L48-'数据-取费表'!B24)),IF(D1="——",MIN(J51,L48),MIN(J51,L48-'数据-取费表'!B24)))</f>
        <v>0</v>
      </c>
      <c r="K53" s="3141" t="s">
        <v>1542</v>
      </c>
      <c r="L53" s="3142"/>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2522</v>
      </c>
      <c r="B1" s="2559"/>
      <c r="C1" s="2559"/>
      <c r="D1" s="2559"/>
      <c r="E1" s="2560"/>
    </row>
    <row r="2" spans="1:6" ht="15.75">
      <c r="A2" s="2561" t="s">
        <v>2323</v>
      </c>
      <c r="B2" s="2562">
        <f ca="1">SUMIF(B6:B13,"&lt;&gt;#ref!",B6:B13)</f>
        <v>21617</v>
      </c>
      <c r="C2" s="2563" t="s">
        <v>2515</v>
      </c>
      <c r="D2" s="2564" t="s">
        <v>2516</v>
      </c>
      <c r="E2" s="2565">
        <f>SUM(E6:E13)</f>
        <v>10338.94</v>
      </c>
    </row>
    <row r="3" spans="1:6" ht="15.75">
      <c r="A3" s="2561" t="s">
        <v>1390</v>
      </c>
      <c r="B3" s="2562">
        <f ca="1">ROUND(B2*10000/E2,0)</f>
        <v>20908</v>
      </c>
      <c r="C3" s="2563" t="s">
        <v>2523</v>
      </c>
      <c r="D3" s="2566"/>
      <c r="E3" s="2567"/>
    </row>
    <row r="4" spans="1:6" ht="15.75">
      <c r="A4" s="2568"/>
      <c r="B4" s="2566"/>
      <c r="C4" s="2566"/>
      <c r="D4" s="2566"/>
      <c r="E4" s="2567"/>
    </row>
    <row r="5" spans="1:6" ht="15">
      <c r="A5" s="2569" t="s">
        <v>2517</v>
      </c>
      <c r="B5" s="3146" t="s">
        <v>2518</v>
      </c>
      <c r="C5" s="3146"/>
      <c r="D5" s="2570"/>
      <c r="E5" s="2571" t="s">
        <v>2519</v>
      </c>
      <c r="F5" s="2572" t="s">
        <v>2520</v>
      </c>
    </row>
    <row r="6" spans="1:6">
      <c r="A6" s="2573" t="str">
        <f>'数据-取费表'!AN6</f>
        <v>收益法</v>
      </c>
      <c r="B6" s="2572">
        <f ca="1">IF(F6="是",'数据-取费表'!AO6,0)</f>
        <v>21617</v>
      </c>
      <c r="C6" s="2563" t="s">
        <v>2515</v>
      </c>
      <c r="D6" s="2566"/>
      <c r="E6" s="2574">
        <f>IF(OR(A6=0,F6="否"),0,'数据-取费表'!K6+'数据-取费表'!S6)</f>
        <v>10338.94</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1" t="s">
        <v>1076</v>
      </c>
      <c r="E2" s="1301" t="s">
        <v>1077</v>
      </c>
      <c r="F2" s="1301" t="s">
        <v>1078</v>
      </c>
      <c r="G2" s="1301" t="s">
        <v>1079</v>
      </c>
      <c r="H2" s="1301" t="s">
        <v>1080</v>
      </c>
      <c r="I2" s="1302" t="s">
        <v>1081</v>
      </c>
    </row>
    <row r="3" spans="1:9">
      <c r="A3" s="3153"/>
      <c r="B3" s="3154" t="s">
        <v>1082</v>
      </c>
      <c r="C3" s="3154"/>
      <c r="D3" s="1303"/>
      <c r="E3" s="1301"/>
      <c r="F3" s="1304"/>
      <c r="G3" s="1304"/>
      <c r="H3" s="1305"/>
      <c r="I3" s="1306">
        <f>ROUND(D3*E3*F3*G3*H3/10000,0)</f>
        <v>0</v>
      </c>
    </row>
    <row r="4" spans="1:9">
      <c r="A4" s="3153"/>
      <c r="B4" s="3154" t="s">
        <v>1083</v>
      </c>
      <c r="C4" s="3154"/>
      <c r="D4" s="1303"/>
      <c r="E4" s="1301"/>
      <c r="F4" s="1304"/>
      <c r="G4" s="1304"/>
      <c r="H4" s="1305"/>
      <c r="I4" s="1306">
        <f t="shared" ref="I4:I9" si="0">ROUND(D4*E4*F4*G4*H4/10000,0)</f>
        <v>0</v>
      </c>
    </row>
    <row r="5" spans="1:9">
      <c r="A5" s="3153"/>
      <c r="B5" s="3154" t="s">
        <v>1084</v>
      </c>
      <c r="C5" s="3154"/>
      <c r="D5" s="1303"/>
      <c r="E5" s="1301"/>
      <c r="F5" s="1304"/>
      <c r="G5" s="1304"/>
      <c r="H5" s="1305"/>
      <c r="I5" s="1306">
        <f t="shared" si="0"/>
        <v>0</v>
      </c>
    </row>
    <row r="6" spans="1:9">
      <c r="A6" s="3153"/>
      <c r="B6" s="3154" t="s">
        <v>1085</v>
      </c>
      <c r="C6" s="3154"/>
      <c r="D6" s="1303"/>
      <c r="E6" s="1301"/>
      <c r="F6" s="1304"/>
      <c r="G6" s="1304"/>
      <c r="H6" s="1305"/>
      <c r="I6" s="1306">
        <f t="shared" si="0"/>
        <v>0</v>
      </c>
    </row>
    <row r="7" spans="1:9">
      <c r="A7" s="3153"/>
      <c r="B7" s="3154" t="s">
        <v>1086</v>
      </c>
      <c r="C7" s="3154"/>
      <c r="D7" s="1303"/>
      <c r="E7" s="1301"/>
      <c r="F7" s="1304"/>
      <c r="G7" s="1304"/>
      <c r="H7" s="1305"/>
      <c r="I7" s="1306">
        <f t="shared" si="0"/>
        <v>0</v>
      </c>
    </row>
    <row r="8" spans="1:9">
      <c r="A8" s="3153"/>
      <c r="B8" s="3154" t="s">
        <v>1087</v>
      </c>
      <c r="C8" s="3154"/>
      <c r="D8" s="1303"/>
      <c r="E8" s="1301"/>
      <c r="F8" s="1304"/>
      <c r="G8" s="1304"/>
      <c r="H8" s="1305"/>
      <c r="I8" s="1306">
        <f t="shared" si="0"/>
        <v>0</v>
      </c>
    </row>
    <row r="9" spans="1:9">
      <c r="A9" s="3153"/>
      <c r="B9" s="3154" t="s">
        <v>1088</v>
      </c>
      <c r="C9" s="3154"/>
      <c r="D9" s="1303"/>
      <c r="E9" s="1301"/>
      <c r="F9" s="1304"/>
      <c r="G9" s="1304"/>
      <c r="H9" s="1305"/>
      <c r="I9" s="1306">
        <f t="shared" si="0"/>
        <v>0</v>
      </c>
    </row>
    <row r="10" spans="1:9">
      <c r="A10" s="3153"/>
      <c r="B10" s="3155" t="s">
        <v>1089</v>
      </c>
      <c r="C10" s="3155"/>
      <c r="D10" s="1307"/>
      <c r="E10" s="1307" t="e">
        <f>ROUND(D1*10000/D10/H9,0)</f>
        <v>#DIV/0!</v>
      </c>
      <c r="F10" s="1308"/>
      <c r="G10" s="1308"/>
      <c r="H10" s="1309"/>
      <c r="I10" s="1310">
        <f>SUM(I3:I9)</f>
        <v>0</v>
      </c>
    </row>
    <row r="11" spans="1:9" ht="14.25">
      <c r="A11" s="3153" t="s">
        <v>1090</v>
      </c>
      <c r="B11" s="3154" t="s">
        <v>1091</v>
      </c>
      <c r="C11" s="3154"/>
      <c r="D11" s="1303" t="s">
        <v>1092</v>
      </c>
      <c r="E11" s="1303" t="s">
        <v>1093</v>
      </c>
      <c r="F11" s="1304" t="s">
        <v>1094</v>
      </c>
      <c r="G11" s="1304" t="s">
        <v>1080</v>
      </c>
      <c r="H11" s="1311" t="s">
        <v>1095</v>
      </c>
      <c r="I11" s="1302" t="s">
        <v>1081</v>
      </c>
    </row>
    <row r="12" spans="1:9">
      <c r="A12" s="3153"/>
      <c r="B12" s="3154" t="s">
        <v>1096</v>
      </c>
      <c r="C12" s="3154"/>
      <c r="D12" s="1303"/>
      <c r="E12" s="1303"/>
      <c r="F12" s="1304"/>
      <c r="G12" s="1305"/>
      <c r="H12" s="1312"/>
      <c r="I12" s="1302">
        <f>ROUND(D12*E12*F12*G12/10000,0)</f>
        <v>0</v>
      </c>
    </row>
    <row r="13" spans="1:9">
      <c r="A13" s="3153"/>
      <c r="B13" s="3154" t="s">
        <v>1097</v>
      </c>
      <c r="C13" s="3154"/>
      <c r="D13" s="1303"/>
      <c r="E13" s="1303"/>
      <c r="F13" s="1304"/>
      <c r="G13" s="1305"/>
      <c r="H13" s="1312"/>
      <c r="I13" s="1302">
        <f>ROUND(D13*E13*F13*G13/10000,0)</f>
        <v>0</v>
      </c>
    </row>
    <row r="14" spans="1:9">
      <c r="A14" s="3153"/>
      <c r="B14" s="3154" t="s">
        <v>1098</v>
      </c>
      <c r="C14" s="3154"/>
      <c r="D14" s="1303"/>
      <c r="E14" s="1303"/>
      <c r="F14" s="1304"/>
      <c r="G14" s="1305"/>
      <c r="H14" s="1312"/>
      <c r="I14" s="1302">
        <f>ROUND(D14*E14*F14*G14/10000,0)</f>
        <v>0</v>
      </c>
    </row>
    <row r="15" spans="1:9">
      <c r="A15" s="3153"/>
      <c r="B15" s="3155" t="s">
        <v>1089</v>
      </c>
      <c r="C15" s="3155"/>
      <c r="D15" s="1307"/>
      <c r="E15" s="1307">
        <f>SUM(E12:E14)</f>
        <v>0</v>
      </c>
      <c r="F15" s="1308"/>
      <c r="G15" s="1305"/>
      <c r="H15" s="1312"/>
      <c r="I15" s="1313">
        <f>SUM(I12:I14)</f>
        <v>0</v>
      </c>
    </row>
    <row r="16" spans="1:9" ht="24">
      <c r="A16" s="3153" t="s">
        <v>1099</v>
      </c>
      <c r="B16" s="3154" t="s">
        <v>1100</v>
      </c>
      <c r="C16" s="3154"/>
      <c r="D16" s="1303" t="s">
        <v>1076</v>
      </c>
      <c r="E16" s="1314" t="s">
        <v>1101</v>
      </c>
      <c r="F16" s="1304" t="s">
        <v>1102</v>
      </c>
      <c r="G16" s="1305" t="s">
        <v>1080</v>
      </c>
      <c r="H16" s="1311" t="s">
        <v>1095</v>
      </c>
      <c r="I16" s="1302" t="s">
        <v>1081</v>
      </c>
    </row>
    <row r="17" spans="1:9" ht="14.25">
      <c r="A17" s="3153"/>
      <c r="B17" s="3154" t="s">
        <v>1103</v>
      </c>
      <c r="C17" s="3154"/>
      <c r="D17" s="1303"/>
      <c r="E17" s="1303"/>
      <c r="F17" s="1304"/>
      <c r="G17" s="1305"/>
      <c r="H17" s="1315"/>
      <c r="I17" s="1316">
        <f>ROUND(D17*E17*F17*G17/10000,0)</f>
        <v>0</v>
      </c>
    </row>
    <row r="18" spans="1:9" ht="14.25">
      <c r="A18" s="3153"/>
      <c r="B18" s="3154" t="s">
        <v>1104</v>
      </c>
      <c r="C18" s="3154"/>
      <c r="D18" s="1303"/>
      <c r="E18" s="1303"/>
      <c r="F18" s="1304"/>
      <c r="G18" s="1305"/>
      <c r="H18" s="1315"/>
      <c r="I18" s="1316">
        <f>ROUND(D18*E18*F18*G18/10000,0)</f>
        <v>0</v>
      </c>
    </row>
    <row r="19" spans="1:9" ht="14.25">
      <c r="A19" s="3153"/>
      <c r="B19" s="3154" t="s">
        <v>1105</v>
      </c>
      <c r="C19" s="3154"/>
      <c r="D19" s="1303"/>
      <c r="E19" s="1303"/>
      <c r="F19" s="1304"/>
      <c r="G19" s="1305"/>
      <c r="H19" s="1315"/>
      <c r="I19" s="1316">
        <f>ROUND(D19*E19*F19*G19/10000,0)</f>
        <v>0</v>
      </c>
    </row>
    <row r="20" spans="1:9">
      <c r="A20" s="3153"/>
      <c r="B20" s="3155" t="s">
        <v>1089</v>
      </c>
      <c r="C20" s="3155"/>
      <c r="D20" s="1307">
        <f>SUM(D17:D19)</f>
        <v>0</v>
      </c>
      <c r="E20" s="1307"/>
      <c r="F20" s="1308"/>
      <c r="G20" s="1305"/>
      <c r="H20" s="1312"/>
      <c r="I20" s="1313">
        <f>SUM(I17:I19)</f>
        <v>0</v>
      </c>
    </row>
    <row r="21" spans="1:9">
      <c r="A21" s="3153"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50">
        <f>C27-C30-C31-C32</f>
        <v>0</v>
      </c>
      <c r="F26" s="3150"/>
      <c r="G26" s="3150"/>
      <c r="H26" s="1737" t="s">
        <v>1336</v>
      </c>
    </row>
    <row r="27" spans="1:9">
      <c r="A27" s="1324">
        <v>1</v>
      </c>
      <c r="B27" s="1325" t="s">
        <v>1115</v>
      </c>
      <c r="C27" s="1325">
        <f>C28+C29</f>
        <v>0</v>
      </c>
      <c r="D27" s="1325"/>
      <c r="E27" s="3151"/>
      <c r="F27" s="3151"/>
      <c r="G27" s="3151"/>
    </row>
    <row r="28" spans="1:9">
      <c r="A28" s="1326" t="s">
        <v>1116</v>
      </c>
      <c r="B28" s="1325" t="s">
        <v>1117</v>
      </c>
      <c r="C28" s="1325"/>
      <c r="D28" s="1325"/>
      <c r="E28" s="3151"/>
      <c r="F28" s="3151"/>
      <c r="G28" s="315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2"/>
      <c r="F32" s="3152"/>
      <c r="G32" s="3152"/>
    </row>
    <row r="33" spans="1:7" hidden="1">
      <c r="A33" s="3147" t="s">
        <v>1126</v>
      </c>
      <c r="B33" s="3148"/>
      <c r="C33" s="3148"/>
      <c r="D33" s="3149"/>
      <c r="E33" s="3150"/>
      <c r="F33" s="3150"/>
      <c r="G33" s="3150"/>
    </row>
    <row r="34" spans="1:7" hidden="1">
      <c r="A34" s="1328">
        <v>1</v>
      </c>
      <c r="B34" s="1325" t="s">
        <v>1127</v>
      </c>
      <c r="C34" s="1325"/>
      <c r="D34" s="1325"/>
      <c r="E34" s="3151"/>
      <c r="F34" s="3151"/>
      <c r="G34" s="3151"/>
    </row>
    <row r="35" spans="1:7" hidden="1">
      <c r="A35" s="1328">
        <v>2</v>
      </c>
      <c r="B35" s="1325" t="s">
        <v>1128</v>
      </c>
      <c r="C35" s="1325"/>
      <c r="D35" s="1325"/>
      <c r="E35" s="3151"/>
      <c r="F35" s="3151"/>
      <c r="G35" s="3151"/>
    </row>
    <row r="36" spans="1:7" hidden="1">
      <c r="A36" s="1328">
        <v>3</v>
      </c>
      <c r="B36" s="1325" t="s">
        <v>1129</v>
      </c>
      <c r="C36" s="1325"/>
      <c r="D36" s="1325"/>
      <c r="E36" s="3151"/>
      <c r="F36" s="3151"/>
      <c r="G36" s="3151"/>
    </row>
    <row r="37" spans="1:7" hidden="1">
      <c r="A37" s="1328">
        <v>4</v>
      </c>
      <c r="B37" s="1325" t="s">
        <v>1130</v>
      </c>
      <c r="C37" s="1325"/>
      <c r="D37" s="1325"/>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9" t="s">
        <v>2525</v>
      </c>
      <c r="C1" s="1634" t="s">
        <v>2526</v>
      </c>
      <c r="D1" s="1621"/>
      <c r="E1" s="2580"/>
      <c r="F1" s="2581" t="s">
        <v>2527</v>
      </c>
      <c r="G1" s="1631" t="s">
        <v>2528</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3"/>
      <c r="D2" s="1365" t="e">
        <f ca="1">SUMIF(INDIRECT("'"&amp;F2&amp;"'"&amp;"!A:A"),"承租人权益价值",INDIRECT("'"&amp;F2&amp;"'"&amp;"!c:c"))</f>
        <v>#REF!</v>
      </c>
      <c r="E2" s="2584" t="s">
        <v>2529</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2530</v>
      </c>
      <c r="D3" s="399">
        <f>IF(D1="",'数据-汇总表'!E3,SUMIF('数据-汇总表'!$C19:$C33,D1,'数据-汇总表'!$E19:$E33))</f>
        <v>10338.94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2531</v>
      </c>
      <c r="B4" s="402"/>
      <c r="C4" s="3186" t="s">
        <v>2532</v>
      </c>
      <c r="D4" s="3187"/>
      <c r="E4" s="3188" t="s">
        <v>2533</v>
      </c>
      <c r="F4" s="3189"/>
      <c r="G4" s="3186" t="s">
        <v>2534</v>
      </c>
      <c r="H4" s="3187"/>
      <c r="I4" s="3186" t="s">
        <v>2535</v>
      </c>
      <c r="J4" s="3187"/>
      <c r="K4" s="2593" t="s">
        <v>2536</v>
      </c>
      <c r="L4" s="1130"/>
      <c r="M4" s="1131"/>
      <c r="N4" s="1131"/>
      <c r="O4" s="1131"/>
      <c r="P4" s="3190" t="s">
        <v>2537</v>
      </c>
      <c r="Q4" s="3191"/>
      <c r="R4" s="3196" t="s">
        <v>2533</v>
      </c>
      <c r="S4" s="3197"/>
      <c r="T4" s="3196" t="s">
        <v>2534</v>
      </c>
      <c r="U4" s="3197"/>
      <c r="V4" s="3202" t="s">
        <v>2535</v>
      </c>
      <c r="W4" s="3202"/>
      <c r="X4" s="1813"/>
      <c r="Y4" s="3196" t="s">
        <v>2537</v>
      </c>
      <c r="Z4" s="3197"/>
      <c r="AA4" s="3183" t="s">
        <v>2533</v>
      </c>
      <c r="AB4" s="3183" t="s">
        <v>2534</v>
      </c>
      <c r="AC4" s="3183" t="s">
        <v>2535</v>
      </c>
    </row>
    <row r="5" spans="1:29" ht="15">
      <c r="A5" s="404"/>
      <c r="B5" s="405"/>
      <c r="C5" s="3205" t="s">
        <v>2538</v>
      </c>
      <c r="D5" s="3206"/>
      <c r="E5" s="3212" t="s">
        <v>2539</v>
      </c>
      <c r="F5" s="3213"/>
      <c r="G5" s="3205" t="s">
        <v>2540</v>
      </c>
      <c r="H5" s="3206"/>
      <c r="I5" s="3205" t="s">
        <v>2541</v>
      </c>
      <c r="J5" s="3206"/>
      <c r="K5" s="2594"/>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2542</v>
      </c>
      <c r="D6" s="3204"/>
      <c r="E6" s="3210" t="s">
        <v>2542</v>
      </c>
      <c r="F6" s="3211"/>
      <c r="G6" s="3203" t="s">
        <v>2542</v>
      </c>
      <c r="H6" s="3204"/>
      <c r="I6" s="3203" t="s">
        <v>2542</v>
      </c>
      <c r="J6" s="3204"/>
      <c r="K6" s="2594" t="s">
        <v>2543</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2544</v>
      </c>
      <c r="B7" s="409"/>
      <c r="C7" s="410">
        <f>'数据-取费表'!B2</f>
        <v>43754</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07" t="s">
        <v>2545</v>
      </c>
      <c r="Q7" s="3209"/>
      <c r="R7" s="770" t="s">
        <v>23</v>
      </c>
      <c r="S7" s="771">
        <f t="shared" ref="S7:S15" si="0">F7</f>
        <v>0</v>
      </c>
      <c r="T7" s="770" t="s">
        <v>23</v>
      </c>
      <c r="U7" s="771">
        <f t="shared" ref="U7:U15" si="1">H7</f>
        <v>0</v>
      </c>
      <c r="V7" s="770" t="s">
        <v>23</v>
      </c>
      <c r="W7" s="771">
        <f t="shared" ref="W7:W15" si="2">J7</f>
        <v>0</v>
      </c>
      <c r="X7" s="772"/>
      <c r="Y7" s="3207" t="s">
        <v>2545</v>
      </c>
      <c r="Z7" s="3208"/>
      <c r="AA7" s="773" t="e">
        <f>D7/F7</f>
        <v>#DIV/0!</v>
      </c>
      <c r="AB7" s="773" t="e">
        <f>D7/H7</f>
        <v>#DIV/0!</v>
      </c>
      <c r="AC7" s="773"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07" t="s">
        <v>2548</v>
      </c>
      <c r="Q8" s="3208"/>
      <c r="R8" s="770" t="s">
        <v>23</v>
      </c>
      <c r="S8" s="771">
        <f t="shared" si="0"/>
        <v>0</v>
      </c>
      <c r="T8" s="770" t="s">
        <v>23</v>
      </c>
      <c r="U8" s="771">
        <f t="shared" si="1"/>
        <v>0</v>
      </c>
      <c r="V8" s="770" t="s">
        <v>23</v>
      </c>
      <c r="W8" s="771">
        <f t="shared" si="2"/>
        <v>0</v>
      </c>
      <c r="X8" s="772"/>
      <c r="Y8" s="3207" t="s">
        <v>2548</v>
      </c>
      <c r="Z8" s="320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82"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2555</v>
      </c>
      <c r="B15" s="69" t="s">
        <v>2080</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0" t="s">
        <v>2556</v>
      </c>
      <c r="Q15" s="1810" t="str">
        <f t="shared" si="6"/>
        <v>居住社区成熟度</v>
      </c>
      <c r="R15" s="774" t="s">
        <v>21</v>
      </c>
      <c r="S15" s="775">
        <f t="shared" si="0"/>
        <v>100</v>
      </c>
      <c r="T15" s="774" t="s">
        <v>21</v>
      </c>
      <c r="U15" s="775">
        <f t="shared" si="1"/>
        <v>100</v>
      </c>
      <c r="V15" s="774" t="s">
        <v>21</v>
      </c>
      <c r="W15" s="775">
        <f t="shared" si="2"/>
        <v>100</v>
      </c>
      <c r="X15" s="1813"/>
      <c r="Y15" s="3173" t="s">
        <v>2556</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2092</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1"/>
      <c r="Q17" s="1810" t="str">
        <f>B17</f>
        <v>交通便捷度</v>
      </c>
      <c r="R17" s="774" t="s">
        <v>21</v>
      </c>
      <c r="S17" s="775">
        <f>F17</f>
        <v>100</v>
      </c>
      <c r="T17" s="774" t="s">
        <v>21</v>
      </c>
      <c r="U17" s="775">
        <f>H17</f>
        <v>100</v>
      </c>
      <c r="V17" s="774" t="s">
        <v>21</v>
      </c>
      <c r="W17" s="775">
        <f>J17</f>
        <v>100</v>
      </c>
      <c r="X17" s="1813"/>
      <c r="Y17" s="3174"/>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2090</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1"/>
      <c r="Q19" s="1810" t="str">
        <f>B19</f>
        <v>公共配套设施</v>
      </c>
      <c r="R19" s="774" t="s">
        <v>21</v>
      </c>
      <c r="S19" s="775">
        <f>F19</f>
        <v>100</v>
      </c>
      <c r="T19" s="774" t="s">
        <v>21</v>
      </c>
      <c r="U19" s="775">
        <f>H19</f>
        <v>100</v>
      </c>
      <c r="V19" s="774" t="s">
        <v>21</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2093</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2097</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1"/>
      <c r="Q23" s="1810" t="str">
        <f>B23</f>
        <v>自然及人文环境</v>
      </c>
      <c r="R23" s="774" t="s">
        <v>21</v>
      </c>
      <c r="S23" s="775">
        <f>F23</f>
        <v>100</v>
      </c>
      <c r="T23" s="774" t="s">
        <v>21</v>
      </c>
      <c r="U23" s="775">
        <f>H23</f>
        <v>100</v>
      </c>
      <c r="V23" s="774" t="s">
        <v>21</v>
      </c>
      <c r="W23" s="775">
        <f>J23</f>
        <v>100</v>
      </c>
      <c r="X23" s="1813"/>
      <c r="Y23" s="3174"/>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18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181"/>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181"/>
      <c r="Q27" s="1795">
        <f t="shared" si="11"/>
        <v>111</v>
      </c>
      <c r="R27" s="770" t="s">
        <v>21</v>
      </c>
      <c r="S27" s="771">
        <f t="shared" si="12"/>
        <v>100</v>
      </c>
      <c r="T27" s="770" t="s">
        <v>21</v>
      </c>
      <c r="U27" s="771">
        <f t="shared" si="13"/>
        <v>100</v>
      </c>
      <c r="V27" s="770" t="s">
        <v>21</v>
      </c>
      <c r="W27" s="771">
        <f t="shared" si="14"/>
        <v>100</v>
      </c>
      <c r="X27" s="772"/>
      <c r="Y27" s="317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181"/>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181"/>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181"/>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181"/>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75" t="s">
        <v>2561</v>
      </c>
      <c r="Q32" s="1810" t="str">
        <f t="shared" si="11"/>
        <v>建筑类型</v>
      </c>
      <c r="R32" s="774" t="s">
        <v>21</v>
      </c>
      <c r="S32" s="775">
        <f t="shared" si="12"/>
        <v>100</v>
      </c>
      <c r="T32" s="774" t="s">
        <v>21</v>
      </c>
      <c r="U32" s="775">
        <f t="shared" si="13"/>
        <v>100</v>
      </c>
      <c r="V32" s="774" t="s">
        <v>21</v>
      </c>
      <c r="W32" s="775">
        <f t="shared" si="14"/>
        <v>100</v>
      </c>
      <c r="X32" s="1813"/>
      <c r="Y32" s="3178"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1" t="e">
        <f t="shared" si="15"/>
        <v>#N/A</v>
      </c>
      <c r="AB33" s="1811" t="e">
        <f t="shared" si="16"/>
        <v>#N/A</v>
      </c>
      <c r="AC33" s="1811"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76"/>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76"/>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76"/>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6"/>
      <c r="Q37" s="1795"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76" t="s">
        <v>2561</v>
      </c>
      <c r="Q38" s="1810" t="str">
        <f t="shared" si="11"/>
        <v>物业管理</v>
      </c>
      <c r="R38" s="774" t="s">
        <v>21</v>
      </c>
      <c r="S38" s="775">
        <f t="shared" si="12"/>
        <v>100</v>
      </c>
      <c r="T38" s="774" t="s">
        <v>21</v>
      </c>
      <c r="U38" s="775">
        <f t="shared" si="13"/>
        <v>100</v>
      </c>
      <c r="V38" s="774" t="s">
        <v>21</v>
      </c>
      <c r="W38" s="775">
        <f t="shared" si="14"/>
        <v>100</v>
      </c>
      <c r="X38" s="1813"/>
      <c r="Y38" s="3178" t="s">
        <v>2561</v>
      </c>
      <c r="Z38" s="1814" t="str">
        <f t="shared" si="18"/>
        <v>物业管理</v>
      </c>
      <c r="AA38" s="1811">
        <f t="shared" si="15"/>
        <v>1</v>
      </c>
      <c r="AB38" s="1811">
        <f t="shared" si="16"/>
        <v>1</v>
      </c>
      <c r="AC38" s="1811">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76"/>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76"/>
      <c r="Q40" s="1810" t="str">
        <f t="shared" si="11"/>
        <v>房型</v>
      </c>
      <c r="R40" s="774" t="s">
        <v>21</v>
      </c>
      <c r="S40" s="775">
        <f t="shared" si="12"/>
        <v>100</v>
      </c>
      <c r="T40" s="774" t="s">
        <v>21</v>
      </c>
      <c r="U40" s="775">
        <f t="shared" si="13"/>
        <v>100</v>
      </c>
      <c r="V40" s="774" t="s">
        <v>21</v>
      </c>
      <c r="W40" s="775">
        <f t="shared" si="14"/>
        <v>100</v>
      </c>
      <c r="X40" s="1813"/>
      <c r="Y40" s="3178"/>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76"/>
      <c r="Q42" s="1810" t="str">
        <f t="shared" si="11"/>
        <v>内部装修</v>
      </c>
      <c r="R42" s="774" t="s">
        <v>21</v>
      </c>
      <c r="S42" s="775">
        <f t="shared" si="12"/>
        <v>100</v>
      </c>
      <c r="T42" s="774" t="s">
        <v>21</v>
      </c>
      <c r="U42" s="775">
        <f t="shared" si="13"/>
        <v>100</v>
      </c>
      <c r="V42" s="774" t="s">
        <v>21</v>
      </c>
      <c r="W42" s="775">
        <f t="shared" si="14"/>
        <v>100</v>
      </c>
      <c r="X42" s="1813"/>
      <c r="Y42" s="3178"/>
      <c r="Z42" s="1814" t="str">
        <f t="shared" si="18"/>
        <v>内部装修</v>
      </c>
      <c r="AA42" s="1811">
        <f t="shared" si="15"/>
        <v>1</v>
      </c>
      <c r="AB42" s="1811">
        <f t="shared" si="16"/>
        <v>1</v>
      </c>
      <c r="AC42" s="1811">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76"/>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76"/>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76"/>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77"/>
      <c r="Q46" s="1810">
        <f t="shared" si="11"/>
        <v>111</v>
      </c>
      <c r="R46" s="774" t="s">
        <v>20</v>
      </c>
      <c r="S46" s="775">
        <f t="shared" si="12"/>
        <v>100</v>
      </c>
      <c r="T46" s="774" t="s">
        <v>20</v>
      </c>
      <c r="U46" s="775">
        <f t="shared" si="13"/>
        <v>100</v>
      </c>
      <c r="V46" s="774" t="s">
        <v>20</v>
      </c>
      <c r="W46" s="775">
        <f t="shared" si="14"/>
        <v>100</v>
      </c>
      <c r="X46" s="1813"/>
      <c r="Y46" s="3179"/>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18"/>
      <c r="L47" s="1143"/>
      <c r="M47" s="1144"/>
      <c r="N47" s="1131"/>
      <c r="O47" s="1144"/>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9"/>
      <c r="L48" s="1143"/>
      <c r="M48" s="1144"/>
      <c r="N48" s="1144"/>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0"/>
      <c r="L49" s="1143"/>
      <c r="M49" s="1144"/>
      <c r="N49" s="1144"/>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3"/>
      <c r="Q57" s="504"/>
    </row>
    <row r="58" spans="1:29" s="508" customFormat="1" ht="15">
      <c r="A58" s="505" t="s">
        <v>2580</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2584</v>
      </c>
      <c r="B63" s="528" t="s">
        <v>2550</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2606</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2607</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2559</v>
      </c>
      <c r="B100" s="528" t="s">
        <v>2608</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2610</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2611</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2612</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2613</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2614</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2615</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2616</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4">
        <v>6</v>
      </c>
      <c r="C139" s="1085">
        <v>96</v>
      </c>
      <c r="D139" s="2645" t="s">
        <v>2627</v>
      </c>
      <c r="E139" s="1086">
        <v>100</v>
      </c>
      <c r="F139" s="1087">
        <v>102.5</v>
      </c>
      <c r="G139" s="2645" t="s">
        <v>2627</v>
      </c>
      <c r="H139" s="1088">
        <v>105</v>
      </c>
      <c r="I139" s="2646" t="s">
        <v>2628</v>
      </c>
      <c r="J139" s="1085">
        <v>20</v>
      </c>
      <c r="K139" s="1089">
        <f>C145/(J139-2)</f>
        <v>4.0555555555555553E-3</v>
      </c>
    </row>
    <row r="140" spans="1:17" ht="15">
      <c r="B140" s="1090">
        <v>5</v>
      </c>
      <c r="C140" s="1091">
        <v>100</v>
      </c>
      <c r="D140" s="1091"/>
      <c r="E140" s="1092"/>
      <c r="F140" s="1093">
        <v>102</v>
      </c>
      <c r="G140" s="1091"/>
      <c r="H140" s="1094"/>
      <c r="I140" s="2647" t="s">
        <v>2629</v>
      </c>
      <c r="J140" s="315">
        <f>ROUNDUP((J139-1)/2,0)</f>
        <v>10</v>
      </c>
      <c r="K140" s="1095">
        <v>100</v>
      </c>
    </row>
    <row r="141" spans="1:17" ht="15">
      <c r="B141" s="1090">
        <v>4</v>
      </c>
      <c r="C141" s="1091">
        <v>102</v>
      </c>
      <c r="D141" s="1091"/>
      <c r="E141" s="1092"/>
      <c r="F141" s="1093">
        <v>101.5</v>
      </c>
      <c r="G141" s="1091"/>
      <c r="H141" s="1094"/>
      <c r="I141" s="2647" t="s">
        <v>2630</v>
      </c>
      <c r="J141" s="315">
        <v>1</v>
      </c>
      <c r="K141" s="1096">
        <f>ROUND(100+(J141-J140)*K139*100,1)</f>
        <v>96.4</v>
      </c>
    </row>
    <row r="142" spans="1:17" ht="15">
      <c r="B142" s="1090">
        <v>3</v>
      </c>
      <c r="C142" s="1091">
        <v>103</v>
      </c>
      <c r="D142" s="1091"/>
      <c r="E142" s="1092"/>
      <c r="F142" s="1093">
        <v>101</v>
      </c>
      <c r="G142" s="1091"/>
      <c r="H142" s="1094"/>
      <c r="I142" s="2647" t="s">
        <v>2631</v>
      </c>
      <c r="J142" s="315">
        <f>J139</f>
        <v>20</v>
      </c>
      <c r="K142" s="1097">
        <v>95</v>
      </c>
    </row>
    <row r="143" spans="1:17" ht="15">
      <c r="B143" s="1090">
        <v>2</v>
      </c>
      <c r="C143" s="1091">
        <v>100</v>
      </c>
      <c r="D143" s="1091"/>
      <c r="E143" s="1092"/>
      <c r="F143" s="1093">
        <v>100.5</v>
      </c>
      <c r="G143" s="1091"/>
      <c r="H143" s="1094"/>
      <c r="I143" s="2647" t="s">
        <v>2632</v>
      </c>
      <c r="J143" s="1091">
        <v>15</v>
      </c>
      <c r="K143" s="1096">
        <f>ROUND(100+(J143-J140)*K139*100,1)</f>
        <v>102</v>
      </c>
    </row>
    <row r="144" spans="1:17" ht="15">
      <c r="B144" s="1090">
        <v>1</v>
      </c>
      <c r="C144" s="1091">
        <v>98</v>
      </c>
      <c r="D144" s="2648" t="s">
        <v>2633</v>
      </c>
      <c r="E144" s="1092">
        <v>102</v>
      </c>
      <c r="F144" s="1098">
        <v>100</v>
      </c>
      <c r="G144" s="2648" t="s">
        <v>2633</v>
      </c>
      <c r="H144" s="1094">
        <v>105</v>
      </c>
      <c r="I144" s="2647" t="s">
        <v>2632</v>
      </c>
      <c r="J144" s="1091">
        <v>18</v>
      </c>
      <c r="K144" s="1096">
        <f>ROUND(100+(J144-J140)*K139*100,1)</f>
        <v>103.2</v>
      </c>
    </row>
    <row r="145" spans="2:11" ht="15.75" thickBot="1">
      <c r="B145" s="2649" t="s">
        <v>2634</v>
      </c>
      <c r="C145" s="1099">
        <f>ROUND(MAX(C139:C144)/MIN(C139:C144)-1,3)</f>
        <v>7.2999999999999995E-2</v>
      </c>
      <c r="D145" s="1100"/>
      <c r="E145" s="1100"/>
      <c r="F145" s="2650" t="s">
        <v>2635</v>
      </c>
      <c r="G145" s="2651"/>
      <c r="H145" s="2652"/>
      <c r="I145" s="2653" t="s">
        <v>2632</v>
      </c>
      <c r="J145" s="1101">
        <v>8</v>
      </c>
      <c r="K145" s="1102">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1" zoomScale="90" zoomScaleNormal="90" workbookViewId="0">
      <selection activeCell="F34" sqref="F3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9" t="s">
        <v>2638</v>
      </c>
      <c r="C1" s="1634" t="s">
        <v>2526</v>
      </c>
      <c r="D1" s="1621"/>
      <c r="E1" s="2654"/>
      <c r="F1" s="2581"/>
      <c r="G1" s="1631" t="s">
        <v>2639</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2323</v>
      </c>
      <c r="B2" s="1418">
        <f ca="1">IF(C2="——",ROUND(C49*D3/10000,0),ROUND(C49*D3/10000,0)-D2)</f>
        <v>46716</v>
      </c>
      <c r="C2" s="2583"/>
      <c r="D2" s="1365">
        <f ca="1">SUMIF(INDIRECT("'"&amp;F2&amp;"'"&amp;"!A:A"),"承租人权益价值",INDIRECT("'"&amp;F2&amp;"'"&amp;"!c:c"))</f>
        <v>0</v>
      </c>
      <c r="E2" s="2584" t="s">
        <v>2324</v>
      </c>
      <c r="F2" s="2585" t="s">
        <v>3089</v>
      </c>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2325</v>
      </c>
      <c r="B3" s="609">
        <f ca="1">IF(C2="——",C49,ROUND(B2*10000/D3,0))</f>
        <v>45185</v>
      </c>
      <c r="C3" s="400" t="s">
        <v>2640</v>
      </c>
      <c r="D3" s="399">
        <f>IF(D1="",'数据-汇总表'!E3,SUMIF('数据-汇总表'!$C19:$C33,D1,'数据-汇总表'!$E19:$E33))</f>
        <v>10338.94</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202" t="s">
        <v>2644</v>
      </c>
      <c r="AC4" s="3183" t="s">
        <v>2645</v>
      </c>
    </row>
    <row r="5" spans="1:29"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202"/>
      <c r="AC5" s="3184"/>
    </row>
    <row r="6" spans="1:29" ht="15.75" thickBot="1">
      <c r="A6" s="406"/>
      <c r="B6" s="407"/>
      <c r="C6" s="3203" t="s">
        <v>2542</v>
      </c>
      <c r="D6" s="3204"/>
      <c r="E6" s="3210" t="s">
        <v>2542</v>
      </c>
      <c r="F6" s="3211"/>
      <c r="G6" s="3203" t="s">
        <v>2542</v>
      </c>
      <c r="H6" s="3204"/>
      <c r="I6" s="3203" t="s">
        <v>2542</v>
      </c>
      <c r="J6" s="3204"/>
      <c r="K6" s="610" t="s">
        <v>2543</v>
      </c>
      <c r="L6" s="1130"/>
      <c r="M6" s="1131"/>
      <c r="N6" s="1131"/>
      <c r="O6" s="1131"/>
      <c r="P6" s="3194"/>
      <c r="Q6" s="3195"/>
      <c r="R6" s="3198"/>
      <c r="S6" s="3199"/>
      <c r="T6" s="3200"/>
      <c r="U6" s="3201"/>
      <c r="V6" s="3202"/>
      <c r="W6" s="3202"/>
      <c r="X6" s="1813"/>
      <c r="Y6" s="3200"/>
      <c r="Z6" s="3201"/>
      <c r="AA6" s="3185"/>
      <c r="AB6" s="3202"/>
      <c r="AC6" s="3185"/>
    </row>
    <row r="7" spans="1:29" s="117" customFormat="1" ht="15.75" thickBot="1">
      <c r="A7" s="408" t="s">
        <v>2544</v>
      </c>
      <c r="B7" s="409"/>
      <c r="C7" s="410">
        <f>'数据-取费表'!B2</f>
        <v>43754</v>
      </c>
      <c r="D7" s="411">
        <v>100</v>
      </c>
      <c r="E7" s="412">
        <v>43448</v>
      </c>
      <c r="F7" s="413">
        <v>100</v>
      </c>
      <c r="G7" s="412">
        <v>43448</v>
      </c>
      <c r="H7" s="411">
        <v>100</v>
      </c>
      <c r="I7" s="412">
        <v>43400</v>
      </c>
      <c r="J7" s="411">
        <v>100</v>
      </c>
      <c r="K7" s="611"/>
      <c r="L7" s="1132"/>
      <c r="M7" s="1133"/>
      <c r="N7" s="1133"/>
      <c r="O7" s="1133"/>
      <c r="P7" s="3207" t="s">
        <v>2545</v>
      </c>
      <c r="Q7" s="3209"/>
      <c r="R7" s="770" t="s">
        <v>17</v>
      </c>
      <c r="S7" s="771">
        <f t="shared" ref="S7:S15" si="0">F7</f>
        <v>100</v>
      </c>
      <c r="T7" s="770" t="s">
        <v>17</v>
      </c>
      <c r="U7" s="771">
        <f t="shared" ref="U7:U15" si="1">H7</f>
        <v>100</v>
      </c>
      <c r="V7" s="770" t="s">
        <v>17</v>
      </c>
      <c r="W7" s="771">
        <f t="shared" ref="W7:W15" si="2">J7</f>
        <v>100</v>
      </c>
      <c r="X7" s="772"/>
      <c r="Y7" s="3207" t="s">
        <v>2545</v>
      </c>
      <c r="Z7" s="3208"/>
      <c r="AA7" s="773">
        <f>D7/F7</f>
        <v>1</v>
      </c>
      <c r="AB7" s="773">
        <f>D7/H7</f>
        <v>1</v>
      </c>
      <c r="AC7" s="773">
        <f>D7/J7</f>
        <v>1</v>
      </c>
    </row>
    <row r="8" spans="1:29" s="117" customFormat="1" ht="15.75" thickBot="1">
      <c r="A8" s="408" t="s">
        <v>2546</v>
      </c>
      <c r="B8" s="409"/>
      <c r="C8" s="414" t="s">
        <v>2648</v>
      </c>
      <c r="D8" s="411">
        <v>100</v>
      </c>
      <c r="E8" s="414" t="s">
        <v>3082</v>
      </c>
      <c r="F8" s="413">
        <f>SUMIF(61:61,E8,62:62)-SUMIF(61:61,C8,62:62)+100</f>
        <v>100</v>
      </c>
      <c r="G8" s="414" t="s">
        <v>3082</v>
      </c>
      <c r="H8" s="411">
        <f>SUMIF(61:61,G8,62:62)-SUMIF(61:61,C8,62:62)+100</f>
        <v>100</v>
      </c>
      <c r="I8" s="414" t="s">
        <v>3082</v>
      </c>
      <c r="J8" s="411">
        <f>SUMIF(61:61,I8,62:62)-SUMIF(61:61,C8,62:62)+100</f>
        <v>100</v>
      </c>
      <c r="K8" s="611"/>
      <c r="L8" s="1132"/>
      <c r="M8" s="1133"/>
      <c r="N8" s="1133"/>
      <c r="O8" s="1133"/>
      <c r="P8" s="3207" t="s">
        <v>2548</v>
      </c>
      <c r="Q8" s="3208"/>
      <c r="R8" s="770" t="s">
        <v>17</v>
      </c>
      <c r="S8" s="771">
        <f t="shared" si="0"/>
        <v>100</v>
      </c>
      <c r="T8" s="770" t="s">
        <v>17</v>
      </c>
      <c r="U8" s="771">
        <f t="shared" si="1"/>
        <v>100</v>
      </c>
      <c r="V8" s="770" t="s">
        <v>17</v>
      </c>
      <c r="W8" s="771">
        <f t="shared" si="2"/>
        <v>100</v>
      </c>
      <c r="X8" s="772"/>
      <c r="Y8" s="3207" t="s">
        <v>2548</v>
      </c>
      <c r="Z8" s="3208"/>
      <c r="AA8" s="773">
        <f t="shared" ref="AA8:AA46" si="3">D8/F8</f>
        <v>1</v>
      </c>
      <c r="AB8" s="773">
        <f t="shared" ref="AB8:AB46" si="4">D8/H8</f>
        <v>1</v>
      </c>
      <c r="AC8" s="773">
        <f t="shared" ref="AC8:AC46" si="5">D8/J8</f>
        <v>1</v>
      </c>
    </row>
    <row r="9" spans="1:29" s="117" customFormat="1">
      <c r="A9" s="415" t="s">
        <v>2549</v>
      </c>
      <c r="B9" s="71" t="s">
        <v>2550</v>
      </c>
      <c r="C9" s="3287" t="s">
        <v>3083</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82"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773">
        <f t="shared" si="5"/>
        <v>1</v>
      </c>
    </row>
    <row r="10" spans="1:29" s="427" customFormat="1" ht="27">
      <c r="A10" s="421"/>
      <c r="B10" s="422" t="s">
        <v>2553</v>
      </c>
      <c r="C10" s="423" t="s">
        <v>3084</v>
      </c>
      <c r="D10" s="136">
        <v>100</v>
      </c>
      <c r="E10" s="424" t="s">
        <v>3084</v>
      </c>
      <c r="F10" s="425">
        <f>SUMIF(65:65,E10,66:66)-SUMIF(65:65,C10,66:66)+100</f>
        <v>100</v>
      </c>
      <c r="G10" s="423" t="s">
        <v>3084</v>
      </c>
      <c r="H10" s="136">
        <f>SUMIF(65:65,G10,66:66)-SUMIF(65:65,C10,66:66)+100</f>
        <v>100</v>
      </c>
      <c r="I10" s="423" t="s">
        <v>3084</v>
      </c>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2"/>
      <c r="Q11" s="1795" t="str">
        <f t="shared" si="6"/>
        <v>容积率</v>
      </c>
      <c r="R11" s="770" t="s">
        <v>17</v>
      </c>
      <c r="S11" s="771">
        <f t="shared" si="0"/>
        <v>100</v>
      </c>
      <c r="T11" s="770" t="s">
        <v>17</v>
      </c>
      <c r="U11" s="771">
        <f t="shared" si="1"/>
        <v>100</v>
      </c>
      <c r="V11" s="770" t="s">
        <v>17</v>
      </c>
      <c r="W11" s="771">
        <f t="shared" si="2"/>
        <v>100</v>
      </c>
      <c r="X11" s="772"/>
      <c r="Y11" s="2997"/>
      <c r="Z11" s="5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v>98</v>
      </c>
      <c r="K15" s="614"/>
      <c r="L15" s="1140"/>
      <c r="M15" s="1131"/>
      <c r="N15" s="1131"/>
      <c r="O15" s="1131"/>
      <c r="P15" s="3180" t="s">
        <v>2556</v>
      </c>
      <c r="Q15" s="1810" t="str">
        <f t="shared" si="6"/>
        <v>商业繁华度</v>
      </c>
      <c r="R15" s="774" t="s">
        <v>17</v>
      </c>
      <c r="S15" s="775">
        <f t="shared" si="0"/>
        <v>100</v>
      </c>
      <c r="T15" s="774" t="s">
        <v>17</v>
      </c>
      <c r="U15" s="775">
        <f t="shared" si="1"/>
        <v>100</v>
      </c>
      <c r="V15" s="774" t="s">
        <v>17</v>
      </c>
      <c r="W15" s="775">
        <f t="shared" si="2"/>
        <v>98</v>
      </c>
      <c r="X15" s="1813"/>
      <c r="Y15" s="3173" t="s">
        <v>2556</v>
      </c>
      <c r="Z15" s="1814" t="str">
        <f t="shared" si="7"/>
        <v>商业繁华度</v>
      </c>
      <c r="AA15" s="1811">
        <f t="shared" si="3"/>
        <v>1</v>
      </c>
      <c r="AB15" s="1811">
        <f t="shared" si="4"/>
        <v>1</v>
      </c>
      <c r="AC15" s="1811">
        <f t="shared" si="5"/>
        <v>1.0204081632653061</v>
      </c>
    </row>
    <row r="16" spans="1:29" ht="15">
      <c r="A16" s="428"/>
      <c r="B16" s="446"/>
      <c r="C16" s="447" t="s">
        <v>3085</v>
      </c>
      <c r="D16" s="448"/>
      <c r="E16" s="447" t="s">
        <v>3085</v>
      </c>
      <c r="F16" s="449"/>
      <c r="G16" s="447" t="s">
        <v>3085</v>
      </c>
      <c r="H16" s="450"/>
      <c r="I16" s="447" t="s">
        <v>3086</v>
      </c>
      <c r="J16" s="448"/>
      <c r="K16" s="61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2092</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5" t="s">
        <v>3085</v>
      </c>
      <c r="D18" s="450"/>
      <c r="E18" s="2607" t="s">
        <v>3085</v>
      </c>
      <c r="F18" s="453"/>
      <c r="G18" s="2606" t="s">
        <v>3085</v>
      </c>
      <c r="H18" s="448"/>
      <c r="I18" s="2607" t="s">
        <v>3085</v>
      </c>
      <c r="J18" s="448"/>
      <c r="K18" s="61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t="s">
        <v>3086</v>
      </c>
      <c r="D20" s="448"/>
      <c r="E20" s="2602" t="s">
        <v>3086</v>
      </c>
      <c r="F20" s="449"/>
      <c r="G20" s="2601" t="s">
        <v>3086</v>
      </c>
      <c r="H20" s="448"/>
      <c r="I20" s="2602" t="s">
        <v>3086</v>
      </c>
      <c r="J20" s="448"/>
      <c r="K20" s="61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5" t="s">
        <v>3087</v>
      </c>
      <c r="D22" s="448"/>
      <c r="E22" s="447" t="s">
        <v>3087</v>
      </c>
      <c r="F22" s="449"/>
      <c r="G22" s="447" t="s">
        <v>3087</v>
      </c>
      <c r="H22" s="448"/>
      <c r="I22" s="447" t="s">
        <v>3087</v>
      </c>
      <c r="J22" s="448"/>
      <c r="K22" s="1383"/>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2097</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1"/>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t="s">
        <v>3086</v>
      </c>
      <c r="D24" s="448"/>
      <c r="E24" s="2602" t="s">
        <v>3086</v>
      </c>
      <c r="F24" s="449"/>
      <c r="G24" s="2601" t="s">
        <v>3086</v>
      </c>
      <c r="H24" s="448"/>
      <c r="I24" s="2602" t="s">
        <v>3086</v>
      </c>
      <c r="J24" s="448"/>
      <c r="K24" s="61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2652</v>
      </c>
      <c r="C25" s="616" t="s">
        <v>3088</v>
      </c>
      <c r="D25" s="435">
        <v>100</v>
      </c>
      <c r="E25" s="616" t="s">
        <v>3088</v>
      </c>
      <c r="F25" s="461">
        <f>SUMIF(86:86,E25,87:87)-SUMIF(86:86,C25,87:87)+100</f>
        <v>100</v>
      </c>
      <c r="G25" s="616" t="s">
        <v>3088</v>
      </c>
      <c r="H25" s="435">
        <f>SUMIF(86:86,G25,87:87)-SUMIF(86:86,C25,87:87)+100</f>
        <v>100</v>
      </c>
      <c r="I25" s="616" t="s">
        <v>3088</v>
      </c>
      <c r="J25" s="435">
        <f>SUMIF(86:86,I25,87:87)-SUMIF(86:86,C25,87:87)+100</f>
        <v>100</v>
      </c>
      <c r="K25" s="612"/>
      <c r="L25" s="1140"/>
      <c r="M25" s="1131"/>
      <c r="N25" s="1131"/>
      <c r="O25" s="1131"/>
      <c r="P25" s="3181"/>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1"/>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2654</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181"/>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1"/>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2559</v>
      </c>
      <c r="B32" s="71" t="s">
        <v>2656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75" t="s">
        <v>2561</v>
      </c>
      <c r="Q32" s="1810" t="str">
        <f t="shared" si="11"/>
        <v>商业类型</v>
      </c>
      <c r="R32" s="774" t="s">
        <v>17</v>
      </c>
      <c r="S32" s="775">
        <f t="shared" si="12"/>
        <v>100</v>
      </c>
      <c r="T32" s="774" t="s">
        <v>17</v>
      </c>
      <c r="U32" s="775">
        <f t="shared" si="13"/>
        <v>100</v>
      </c>
      <c r="V32" s="774" t="s">
        <v>17</v>
      </c>
      <c r="W32" s="775">
        <f t="shared" si="14"/>
        <v>100</v>
      </c>
      <c r="X32" s="1813"/>
      <c r="Y32" s="3178" t="s">
        <v>2561</v>
      </c>
      <c r="Z32" s="1814" t="str">
        <f t="shared" si="15"/>
        <v>商业类型</v>
      </c>
      <c r="AA32" s="1811">
        <f t="shared" si="3"/>
        <v>1</v>
      </c>
      <c r="AB32" s="1811">
        <f t="shared" si="4"/>
        <v>1</v>
      </c>
      <c r="AC32" s="1811">
        <f t="shared" si="5"/>
        <v>1</v>
      </c>
    </row>
    <row r="33" spans="1:29" s="471" customFormat="1" ht="15">
      <c r="A33" s="468"/>
      <c r="B33" s="422" t="s">
        <v>2562</v>
      </c>
      <c r="C33" s="469">
        <f>D3</f>
        <v>10338.94</v>
      </c>
      <c r="D33" s="136">
        <v>100</v>
      </c>
      <c r="E33" s="430">
        <v>780.16</v>
      </c>
      <c r="F33" s="425">
        <v>103</v>
      </c>
      <c r="G33" s="429">
        <v>535.54</v>
      </c>
      <c r="H33" s="136">
        <v>103</v>
      </c>
      <c r="I33" s="429">
        <v>48.8</v>
      </c>
      <c r="J33" s="136">
        <v>105</v>
      </c>
      <c r="K33" s="613"/>
      <c r="L33" s="1138"/>
      <c r="M33" s="1141"/>
      <c r="N33" s="1141"/>
      <c r="O33" s="1141"/>
      <c r="P33" s="3176"/>
      <c r="Q33" s="776" t="str">
        <f t="shared" si="11"/>
        <v>项目建筑规模</v>
      </c>
      <c r="R33" s="777" t="s">
        <v>17</v>
      </c>
      <c r="S33" s="778">
        <f t="shared" si="12"/>
        <v>103</v>
      </c>
      <c r="T33" s="777" t="s">
        <v>17</v>
      </c>
      <c r="U33" s="778">
        <f t="shared" si="13"/>
        <v>103</v>
      </c>
      <c r="V33" s="777" t="s">
        <v>17</v>
      </c>
      <c r="W33" s="778">
        <f t="shared" si="14"/>
        <v>105</v>
      </c>
      <c r="X33" s="779"/>
      <c r="Y33" s="3178"/>
      <c r="Z33" s="780" t="str">
        <f t="shared" si="15"/>
        <v>项目建筑规模</v>
      </c>
      <c r="AA33" s="1811">
        <f t="shared" si="3"/>
        <v>0.970873786407767</v>
      </c>
      <c r="AB33" s="1811">
        <f t="shared" si="4"/>
        <v>0.970873786407767</v>
      </c>
      <c r="AC33" s="1811">
        <f t="shared" si="5"/>
        <v>0.95238095238095233</v>
      </c>
    </row>
    <row r="34" spans="1:29" ht="15">
      <c r="A34" s="472"/>
      <c r="B34" s="422" t="s">
        <v>2563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76"/>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2657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76"/>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2658</v>
      </c>
      <c r="C36" s="474">
        <v>0.7</v>
      </c>
      <c r="D36" s="435">
        <v>100</v>
      </c>
      <c r="E36" s="474">
        <v>0.8</v>
      </c>
      <c r="F36" s="461">
        <v>101</v>
      </c>
      <c r="G36" s="474">
        <v>0.8</v>
      </c>
      <c r="H36" s="461">
        <v>101</v>
      </c>
      <c r="I36" s="474">
        <v>0.7</v>
      </c>
      <c r="J36" s="435">
        <f>LOOKUP(I36,110:110,111:111)-LOOKUP(C36,110:110,111:111)+100</f>
        <v>100</v>
      </c>
      <c r="K36" s="612"/>
      <c r="L36" s="1140"/>
      <c r="M36" s="1131"/>
      <c r="N36" s="1131"/>
      <c r="O36" s="1131"/>
      <c r="P36" s="3176"/>
      <c r="Q36" s="1810" t="str">
        <f t="shared" si="11"/>
        <v>成新度</v>
      </c>
      <c r="R36" s="774" t="s">
        <v>17</v>
      </c>
      <c r="S36" s="775">
        <f t="shared" si="12"/>
        <v>101</v>
      </c>
      <c r="T36" s="774" t="s">
        <v>17</v>
      </c>
      <c r="U36" s="775">
        <f t="shared" si="13"/>
        <v>101</v>
      </c>
      <c r="V36" s="774" t="s">
        <v>17</v>
      </c>
      <c r="W36" s="775">
        <f t="shared" si="14"/>
        <v>100</v>
      </c>
      <c r="X36" s="1813"/>
      <c r="Y36" s="3178"/>
      <c r="Z36" s="1814" t="str">
        <f t="shared" si="15"/>
        <v>成新度</v>
      </c>
      <c r="AA36" s="1811">
        <f t="shared" si="3"/>
        <v>0.99009900990099009</v>
      </c>
      <c r="AB36" s="1811">
        <f t="shared" si="4"/>
        <v>0.99009900990099009</v>
      </c>
      <c r="AC36" s="1811">
        <f t="shared" si="5"/>
        <v>1</v>
      </c>
    </row>
    <row r="37" spans="1:29" s="117" customFormat="1" ht="15">
      <c r="A37" s="473"/>
      <c r="B37" s="422" t="s">
        <v>2659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76"/>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76" t="s">
        <v>2561</v>
      </c>
      <c r="Q38" s="1810" t="str">
        <f t="shared" si="11"/>
        <v>业态</v>
      </c>
      <c r="R38" s="774" t="s">
        <v>17</v>
      </c>
      <c r="S38" s="775">
        <f t="shared" si="12"/>
        <v>100</v>
      </c>
      <c r="T38" s="774" t="s">
        <v>17</v>
      </c>
      <c r="U38" s="775">
        <f t="shared" si="13"/>
        <v>100</v>
      </c>
      <c r="V38" s="774" t="s">
        <v>17</v>
      </c>
      <c r="W38" s="775">
        <f t="shared" si="14"/>
        <v>100</v>
      </c>
      <c r="X38" s="1813"/>
      <c r="Y38" s="3178" t="s">
        <v>2561</v>
      </c>
      <c r="Z38" s="1814" t="str">
        <f t="shared" si="15"/>
        <v>业态</v>
      </c>
      <c r="AA38" s="1811">
        <f t="shared" si="3"/>
        <v>1</v>
      </c>
      <c r="AB38" s="1811">
        <f t="shared" si="4"/>
        <v>1</v>
      </c>
      <c r="AC38" s="1811">
        <f t="shared" si="5"/>
        <v>1</v>
      </c>
    </row>
    <row r="39" spans="1:29" ht="15">
      <c r="A39" s="472"/>
      <c r="B39" s="422" t="s">
        <v>2661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76"/>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6"/>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76"/>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2572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76"/>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6"/>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6"/>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1811">
        <f t="shared" si="5"/>
        <v>1</v>
      </c>
    </row>
    <row r="47" spans="1:29" ht="15">
      <c r="A47" s="479" t="s">
        <v>2573</v>
      </c>
      <c r="B47" s="480"/>
      <c r="C47" s="1407" t="s">
        <v>1</v>
      </c>
      <c r="D47" s="1408"/>
      <c r="E47" s="1409">
        <f>案例!$C$23</f>
        <v>45487.75</v>
      </c>
      <c r="F47" s="1410"/>
      <c r="G47" s="1411">
        <f>案例!$C$45</f>
        <v>47457.2</v>
      </c>
      <c r="H47" s="1412"/>
      <c r="I47" s="1409">
        <f>案例!$C$68</f>
        <v>47549.967300000004</v>
      </c>
      <c r="J47" s="1412"/>
      <c r="K47" s="783"/>
      <c r="L47" s="1143"/>
      <c r="M47" s="1144"/>
      <c r="N47" s="1131"/>
      <c r="O47" s="1144"/>
      <c r="P47" s="3171" t="str">
        <f>A47</f>
        <v>成交单价（元/平方米）</v>
      </c>
      <c r="Q47" s="3171"/>
      <c r="R47" s="3202">
        <f>E47</f>
        <v>45487.75</v>
      </c>
      <c r="S47" s="3202"/>
      <c r="T47" s="3202">
        <f>G47</f>
        <v>47457.2</v>
      </c>
      <c r="U47" s="3202"/>
      <c r="V47" s="3202">
        <f>I47</f>
        <v>47549.967300000004</v>
      </c>
      <c r="W47" s="3202"/>
      <c r="X47" s="759"/>
      <c r="Y47" s="781"/>
      <c r="Z47" s="759"/>
      <c r="AA47" s="759"/>
      <c r="AB47" s="759"/>
      <c r="AC47" s="759"/>
    </row>
    <row r="48" spans="1:29" ht="15.75" thickBot="1">
      <c r="A48" s="486" t="s">
        <v>2665</v>
      </c>
      <c r="B48" s="487"/>
      <c r="C48" s="1413">
        <f>R49</f>
        <v>45184.800000000003</v>
      </c>
      <c r="D48" s="1414"/>
      <c r="E48" s="1415">
        <f>R48</f>
        <v>43725.599999999999</v>
      </c>
      <c r="F48" s="1415"/>
      <c r="G48" s="1413">
        <f>T48</f>
        <v>45618.8</v>
      </c>
      <c r="H48" s="1414"/>
      <c r="I48" s="1415">
        <f>V48</f>
        <v>46209.9</v>
      </c>
      <c r="J48" s="1414"/>
      <c r="K48" s="784"/>
      <c r="L48" s="1143"/>
      <c r="M48" s="1144"/>
      <c r="N48" s="1131"/>
      <c r="O48" s="1144"/>
      <c r="P48" s="3171" t="str">
        <f>A48</f>
        <v>比较价值（元/平方米）</v>
      </c>
      <c r="Q48" s="3171"/>
      <c r="R48" s="3172">
        <f>IF(F1="售价",ROUND(PRODUCT(R47,AA7:AA46),0),ROUND(PRODUCT(R47,AA7:AA46),1))</f>
        <v>43725.599999999999</v>
      </c>
      <c r="S48" s="3172"/>
      <c r="T48" s="3172">
        <f>IF(F1="售价",ROUND(PRODUCT(T47,AB7:AB46),0),ROUND(PRODUCT(T47,AB7:AB46),1))</f>
        <v>45618.8</v>
      </c>
      <c r="U48" s="3172"/>
      <c r="V48" s="3172">
        <f>IF(F1="售价",ROUND(PRODUCT(V47,AC7:AC46),0),ROUND(PRODUCT(V47,AC7:AC46),1))</f>
        <v>46209.9</v>
      </c>
      <c r="W48" s="3172"/>
      <c r="X48" s="759"/>
      <c r="Y48" s="759"/>
      <c r="Z48" s="759"/>
      <c r="AA48" s="759"/>
      <c r="AB48" s="759"/>
      <c r="AC48" s="759"/>
    </row>
    <row r="49" spans="1:29" ht="15.75" thickBot="1">
      <c r="A49" s="492" t="s">
        <v>2666</v>
      </c>
      <c r="B49" s="493"/>
      <c r="C49" s="1417">
        <f>R49</f>
        <v>45184.800000000003</v>
      </c>
      <c r="D49" s="1417"/>
      <c r="E49" s="1417"/>
      <c r="F49" s="1417"/>
      <c r="G49" s="1417"/>
      <c r="H49" s="1417"/>
      <c r="I49" s="1417"/>
      <c r="J49" s="1417"/>
      <c r="K49" s="785"/>
      <c r="L49" s="1143"/>
      <c r="M49" s="1144"/>
      <c r="N49" s="1131"/>
      <c r="O49" s="1144"/>
      <c r="P49" s="3168" t="str">
        <f>A49</f>
        <v>估价对象XX用房的比较价值（楼面单价，元/平方米）</v>
      </c>
      <c r="Q49" s="3169"/>
      <c r="R49" s="3170">
        <f>IF(F1="售价",ROUND(AVERAGE(R48:V48),0),ROUND(AVERAGE(R48:V48),1))</f>
        <v>45184.800000000003</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4.0300190277549053E-2</v>
      </c>
      <c r="F52" s="500" t="str">
        <f>IF(OR(E52&gt;=0.3,E52&lt;=-0.3),"超过30%","")</f>
        <v/>
      </c>
      <c r="G52" s="499">
        <f>IF(G47&lt;G48,G48/G47-1,G47/G48-1)</f>
        <v>4.029917490157553E-2</v>
      </c>
      <c r="H52" s="500" t="str">
        <f>IF(OR(G52&gt;=0.3,G52&lt;=-0.3),"超过30%","")</f>
        <v/>
      </c>
      <c r="I52" s="499">
        <f>IF(I47&lt;I48,I48/I47-1,I47/I48-1)</f>
        <v>2.8999571520388567E-2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4.3297290374517461E-2</v>
      </c>
      <c r="F53" s="500" t="str">
        <f>IF(OR(E53&gt;=0.2,E53&lt;=-0.2),"超过20%","")</f>
        <v/>
      </c>
      <c r="G53" s="499">
        <f>IF(G48&lt;I48,I48/G48-1,G48/I48-1)</f>
        <v>1.2957377221671784E-2</v>
      </c>
      <c r="H53" s="500" t="str">
        <f>IF(OR(G53&gt;=0.2,G53&lt;=-0.2),"超过20%","")</f>
        <v/>
      </c>
      <c r="I53" s="499">
        <f>IF(I48&lt;E48,E48/I48-1,I48/E48-1)</f>
        <v>5.6815686920248076E-2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4.3296272073250375E-2</v>
      </c>
      <c r="F54" s="500" t="str">
        <f>IF(OR(E54&gt;=0.3,E54&lt;=-0.3),"超过30%","")</f>
        <v/>
      </c>
      <c r="G54" s="499">
        <f>IF(G47&lt;I47,I47/G47-1,G47/I47-1)</f>
        <v>1.9547571285285503E-3</v>
      </c>
      <c r="H54" s="500" t="str">
        <f>IF(OR(G54&gt;=0.3,G54&lt;=-0.3),"超过30%","")</f>
        <v/>
      </c>
      <c r="I54" s="499">
        <f>IF(I47&lt;E47,E47/I47-1,I47/E47-1)</f>
        <v>4.533566289825286E-2</v>
      </c>
      <c r="J54" s="500" t="str">
        <f>IF(OR(I54&gt;=0.3,I54&lt;=-0.3),"超过30%","")</f>
        <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2544</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2584</v>
      </c>
      <c r="B63" s="528" t="s">
        <v>2550</v>
      </c>
      <c r="C63" s="529" t="str">
        <f>C9</f>
        <v>商业</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2554</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v>0</v>
      </c>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2676</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2559</v>
      </c>
      <c r="B100" s="528" t="s">
        <v>2677</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2609</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v>0</v>
      </c>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v>100</v>
      </c>
      <c r="D104" s="536"/>
      <c r="E104" s="536"/>
      <c r="F104" s="536"/>
      <c r="G104" s="536"/>
      <c r="H104" s="536"/>
      <c r="I104" s="536"/>
      <c r="J104" s="536"/>
      <c r="K104" s="536"/>
      <c r="L104" s="536"/>
      <c r="M104" s="537"/>
      <c r="N104" s="1153"/>
      <c r="O104" s="1153"/>
      <c r="P104" s="2628"/>
      <c r="Q104" s="559"/>
    </row>
    <row r="105" spans="1:17" ht="15" thickTop="1">
      <c r="A105" s="599"/>
      <c r="B105" s="538" t="s">
        <v>2610</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2612</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2678</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2679</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2680</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2616</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6" t="s">
        <v>2682</v>
      </c>
      <c r="C1" s="1620" t="s">
        <v>2526</v>
      </c>
      <c r="D1" s="1621"/>
      <c r="E1" s="1630"/>
      <c r="F1" s="2581"/>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3"/>
      <c r="D2" s="1365" t="e">
        <f ca="1">SUMIF(INDIRECT("'"&amp;F2&amp;"'"&amp;"!A:A"),"承租人权益价值",INDIRECT("'"&amp;F2&amp;"'"&amp;"!c:c"))</f>
        <v>#REF!</v>
      </c>
      <c r="E2" s="2584" t="s">
        <v>2324</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10338.94</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220" t="s">
        <v>2647</v>
      </c>
      <c r="Q4" s="3221"/>
      <c r="R4" s="3224" t="s">
        <v>2643</v>
      </c>
      <c r="S4" s="3225"/>
      <c r="T4" s="3224" t="s">
        <v>2644</v>
      </c>
      <c r="U4" s="3225"/>
      <c r="V4" s="3226" t="s">
        <v>2645</v>
      </c>
      <c r="W4" s="3226"/>
      <c r="X4" s="2667"/>
      <c r="Y4" s="3224" t="s">
        <v>2647</v>
      </c>
      <c r="Z4" s="3225"/>
      <c r="AA4" s="3228" t="s">
        <v>2643</v>
      </c>
      <c r="AB4" s="3228" t="s">
        <v>2644</v>
      </c>
      <c r="AC4" s="3217" t="s">
        <v>2645</v>
      </c>
    </row>
    <row r="5" spans="1:29" ht="15">
      <c r="A5" s="404"/>
      <c r="B5" s="405"/>
      <c r="C5" s="3205" t="s">
        <v>2538</v>
      </c>
      <c r="D5" s="3206"/>
      <c r="E5" s="3212" t="s">
        <v>2539</v>
      </c>
      <c r="F5" s="3213"/>
      <c r="G5" s="3205" t="s">
        <v>2540</v>
      </c>
      <c r="H5" s="3206"/>
      <c r="I5" s="3205" t="s">
        <v>2541</v>
      </c>
      <c r="J5" s="3206"/>
      <c r="K5" s="610"/>
      <c r="L5" s="1130"/>
      <c r="M5" s="1131"/>
      <c r="N5" s="1131"/>
      <c r="O5" s="1131"/>
      <c r="P5" s="3222"/>
      <c r="Q5" s="3193"/>
      <c r="R5" s="3198"/>
      <c r="S5" s="3199"/>
      <c r="T5" s="3198"/>
      <c r="U5" s="3199"/>
      <c r="V5" s="3202"/>
      <c r="W5" s="3202"/>
      <c r="X5" s="1813"/>
      <c r="Y5" s="3198"/>
      <c r="Z5" s="3199"/>
      <c r="AA5" s="3184"/>
      <c r="AB5" s="3184"/>
      <c r="AC5" s="3218"/>
    </row>
    <row r="6" spans="1:29" ht="15.75" thickBot="1">
      <c r="A6" s="406"/>
      <c r="B6" s="407"/>
      <c r="C6" s="3203" t="s">
        <v>2542</v>
      </c>
      <c r="D6" s="3204"/>
      <c r="E6" s="3210" t="s">
        <v>2542</v>
      </c>
      <c r="F6" s="3211"/>
      <c r="G6" s="3203" t="s">
        <v>2542</v>
      </c>
      <c r="H6" s="3204"/>
      <c r="I6" s="3203" t="s">
        <v>2542</v>
      </c>
      <c r="J6" s="3204"/>
      <c r="K6" s="610" t="s">
        <v>2543</v>
      </c>
      <c r="L6" s="1130"/>
      <c r="M6" s="1131"/>
      <c r="N6" s="1131"/>
      <c r="O6" s="1131"/>
      <c r="P6" s="3223"/>
      <c r="Q6" s="3195"/>
      <c r="R6" s="3198"/>
      <c r="S6" s="3199"/>
      <c r="T6" s="3200"/>
      <c r="U6" s="3201"/>
      <c r="V6" s="3202"/>
      <c r="W6" s="3202"/>
      <c r="X6" s="1813"/>
      <c r="Y6" s="3200"/>
      <c r="Z6" s="3201"/>
      <c r="AA6" s="3185"/>
      <c r="AB6" s="3185"/>
      <c r="AC6" s="3219"/>
    </row>
    <row r="7" spans="1:29" s="117" customFormat="1" ht="15.75" thickBot="1">
      <c r="A7" s="408" t="s">
        <v>2544</v>
      </c>
      <c r="B7" s="409"/>
      <c r="C7" s="410">
        <f>'数据-取费表'!B2</f>
        <v>43754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2545</v>
      </c>
      <c r="Q7" s="3209"/>
      <c r="R7" s="770" t="s">
        <v>17</v>
      </c>
      <c r="S7" s="771">
        <f t="shared" ref="S7:S15" si="0">F7</f>
        <v>0</v>
      </c>
      <c r="T7" s="770" t="s">
        <v>17</v>
      </c>
      <c r="U7" s="771">
        <f t="shared" ref="U7:U15" si="1">H7</f>
        <v>0</v>
      </c>
      <c r="V7" s="770" t="s">
        <v>17</v>
      </c>
      <c r="W7" s="771">
        <f t="shared" ref="W7:W15" si="2">J7</f>
        <v>0</v>
      </c>
      <c r="X7" s="772"/>
      <c r="Y7" s="3207" t="s">
        <v>2545</v>
      </c>
      <c r="Z7" s="3208"/>
      <c r="AA7" s="773" t="e">
        <f>D7/F7</f>
        <v>#DIV/0!</v>
      </c>
      <c r="AB7" s="773" t="e">
        <f>D7/H7</f>
        <v>#DIV/0!</v>
      </c>
      <c r="AC7" s="266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2548</v>
      </c>
      <c r="Q8" s="3208"/>
      <c r="R8" s="770" t="s">
        <v>17</v>
      </c>
      <c r="S8" s="771">
        <f t="shared" si="0"/>
        <v>0</v>
      </c>
      <c r="T8" s="770" t="s">
        <v>17</v>
      </c>
      <c r="U8" s="771">
        <f t="shared" si="1"/>
        <v>0</v>
      </c>
      <c r="V8" s="770" t="s">
        <v>17</v>
      </c>
      <c r="W8" s="771">
        <f t="shared" si="2"/>
        <v>0</v>
      </c>
      <c r="X8" s="772"/>
      <c r="Y8" s="3207" t="s">
        <v>2548</v>
      </c>
      <c r="Z8" s="3208"/>
      <c r="AA8" s="773" t="e">
        <f t="shared" ref="AA8:AA47" si="3">D8/F8</f>
        <v>#DIV/0!</v>
      </c>
      <c r="AB8" s="773" t="e">
        <f t="shared" ref="AB8:AB47" si="4">D8/H8</f>
        <v>#DIV/0!</v>
      </c>
      <c r="AC8" s="266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266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6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68">
        <f t="shared" si="5"/>
        <v>1</v>
      </c>
    </row>
    <row r="15" spans="1:29" ht="71.25">
      <c r="A15" s="440" t="s">
        <v>2555</v>
      </c>
      <c r="B15" s="629" t="s">
        <v>2683</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0" t="s">
        <v>2556</v>
      </c>
      <c r="Q15" s="1810" t="str">
        <f t="shared" si="6"/>
        <v>办公集聚程度</v>
      </c>
      <c r="R15" s="774" t="s">
        <v>17</v>
      </c>
      <c r="S15" s="775">
        <f t="shared" si="0"/>
        <v>100</v>
      </c>
      <c r="T15" s="774" t="s">
        <v>17</v>
      </c>
      <c r="U15" s="775">
        <f t="shared" si="1"/>
        <v>100</v>
      </c>
      <c r="V15" s="774" t="s">
        <v>17</v>
      </c>
      <c r="W15" s="775">
        <f t="shared" si="2"/>
        <v>100</v>
      </c>
      <c r="X15" s="1813"/>
      <c r="Y15" s="3173" t="s">
        <v>2556</v>
      </c>
      <c r="Z15" s="1814" t="str">
        <f t="shared" si="7"/>
        <v>办公集聚程度</v>
      </c>
      <c r="AA15" s="1811">
        <f t="shared" si="3"/>
        <v>1</v>
      </c>
      <c r="AB15" s="1811">
        <f t="shared" si="4"/>
        <v>1</v>
      </c>
      <c r="AC15" s="2671">
        <f t="shared" si="5"/>
        <v>1</v>
      </c>
    </row>
    <row r="16" spans="1:29" ht="15">
      <c r="A16" s="428"/>
      <c r="B16" s="630"/>
      <c r="C16" s="2608"/>
      <c r="D16" s="448"/>
      <c r="E16" s="447"/>
      <c r="F16" s="448"/>
      <c r="G16" s="2608"/>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2671">
        <v>1</v>
      </c>
    </row>
    <row r="17" spans="1:29" ht="71.25">
      <c r="A17" s="428"/>
      <c r="B17" s="631" t="s">
        <v>2092</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1">
        <f t="shared" si="5"/>
        <v>1</v>
      </c>
    </row>
    <row r="18" spans="1:29" ht="15">
      <c r="A18" s="428"/>
      <c r="B18" s="632"/>
      <c r="C18" s="2673"/>
      <c r="D18" s="450"/>
      <c r="E18" s="2606"/>
      <c r="F18" s="450"/>
      <c r="G18" s="2607"/>
      <c r="H18" s="448"/>
      <c r="I18" s="2607"/>
      <c r="J18" s="448"/>
      <c r="K18" s="615"/>
      <c r="L18" s="1140"/>
      <c r="M18" s="1131"/>
      <c r="N18" s="1131"/>
      <c r="O18" s="1131"/>
      <c r="P18" s="3181"/>
      <c r="Q18" s="1810"/>
      <c r="R18" s="774"/>
      <c r="S18" s="775"/>
      <c r="T18" s="774"/>
      <c r="U18" s="775"/>
      <c r="V18" s="774"/>
      <c r="W18" s="775"/>
      <c r="X18" s="1813"/>
      <c r="Y18" s="3174"/>
      <c r="Z18" s="1814"/>
      <c r="AA18" s="1811">
        <v>1</v>
      </c>
      <c r="AB18" s="1811">
        <v>1</v>
      </c>
      <c r="AC18" s="2671">
        <v>1</v>
      </c>
    </row>
    <row r="19" spans="1:29" ht="42.75">
      <c r="A19" s="428"/>
      <c r="B19" s="631" t="s">
        <v>2684</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1">
        <f t="shared" si="5"/>
        <v>1</v>
      </c>
    </row>
    <row r="20" spans="1:29" ht="15">
      <c r="A20" s="428"/>
      <c r="B20" s="632"/>
      <c r="C20" s="2608"/>
      <c r="D20" s="448"/>
      <c r="E20" s="2601"/>
      <c r="F20" s="448"/>
      <c r="G20" s="2602"/>
      <c r="H20" s="448"/>
      <c r="I20" s="2602"/>
      <c r="J20" s="448"/>
      <c r="K20" s="615"/>
      <c r="L20" s="1140"/>
      <c r="M20" s="1131"/>
      <c r="N20" s="1131"/>
      <c r="O20" s="1131"/>
      <c r="P20" s="3181"/>
      <c r="Q20" s="1810"/>
      <c r="R20" s="774"/>
      <c r="S20" s="775"/>
      <c r="T20" s="774"/>
      <c r="U20" s="775"/>
      <c r="V20" s="774"/>
      <c r="W20" s="775"/>
      <c r="X20" s="1813"/>
      <c r="Y20" s="3174"/>
      <c r="Z20" s="1814"/>
      <c r="AA20" s="1811">
        <v>1</v>
      </c>
      <c r="AB20" s="1811">
        <v>1</v>
      </c>
      <c r="AC20" s="2671">
        <v>1</v>
      </c>
    </row>
    <row r="21" spans="1:29" ht="28.5">
      <c r="A21" s="428"/>
      <c r="B21" s="633" t="s">
        <v>2685</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181"/>
      <c r="Q22" s="1810"/>
      <c r="R22" s="774"/>
      <c r="S22" s="775"/>
      <c r="T22" s="774"/>
      <c r="U22" s="775"/>
      <c r="V22" s="774"/>
      <c r="W22" s="775"/>
      <c r="X22" s="1813"/>
      <c r="Y22" s="3174"/>
      <c r="Z22" s="1814"/>
      <c r="AA22" s="1811">
        <v>1</v>
      </c>
      <c r="AB22" s="1811">
        <v>1</v>
      </c>
      <c r="AC22" s="2671">
        <v>1</v>
      </c>
    </row>
    <row r="23" spans="1:29" ht="42.75">
      <c r="A23" s="428"/>
      <c r="B23" s="631" t="s">
        <v>2686</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1"/>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1">
        <f t="shared" si="5"/>
        <v>1</v>
      </c>
    </row>
    <row r="24" spans="1:29" ht="15">
      <c r="A24" s="428"/>
      <c r="B24" s="633"/>
      <c r="C24" s="2608"/>
      <c r="D24" s="448"/>
      <c r="E24" s="2601"/>
      <c r="F24" s="448"/>
      <c r="G24" s="2602"/>
      <c r="H24" s="448"/>
      <c r="I24" s="2602"/>
      <c r="J24" s="448"/>
      <c r="K24" s="615"/>
      <c r="L24" s="1140"/>
      <c r="M24" s="1131"/>
      <c r="N24" s="1131"/>
      <c r="O24" s="1131"/>
      <c r="P24" s="3181"/>
      <c r="Q24" s="1810"/>
      <c r="R24" s="774"/>
      <c r="S24" s="775"/>
      <c r="T24" s="774"/>
      <c r="U24" s="775"/>
      <c r="V24" s="774"/>
      <c r="W24" s="775"/>
      <c r="X24" s="1813"/>
      <c r="Y24" s="3174"/>
      <c r="Z24" s="1814"/>
      <c r="AA24" s="1811">
        <v>1</v>
      </c>
      <c r="AB24" s="1811">
        <v>1</v>
      </c>
      <c r="AC24" s="2671">
        <v>1</v>
      </c>
    </row>
    <row r="25" spans="1:29" ht="27">
      <c r="A25" s="404"/>
      <c r="B25" s="631" t="s">
        <v>2687</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181"/>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1">
        <f t="shared" si="5"/>
        <v>1</v>
      </c>
    </row>
    <row r="26" spans="1:29" ht="15">
      <c r="A26" s="404"/>
      <c r="B26" s="632"/>
      <c r="C26" s="634"/>
      <c r="D26" s="435"/>
      <c r="E26" s="616"/>
      <c r="F26" s="435"/>
      <c r="G26" s="634"/>
      <c r="H26" s="435"/>
      <c r="I26" s="616"/>
      <c r="J26" s="435"/>
      <c r="K26" s="615"/>
      <c r="L26" s="1140"/>
      <c r="M26" s="1131"/>
      <c r="N26" s="1131"/>
      <c r="O26" s="1131"/>
      <c r="P26" s="3181"/>
      <c r="Q26" s="1810"/>
      <c r="R26" s="774"/>
      <c r="S26" s="775"/>
      <c r="T26" s="774"/>
      <c r="U26" s="775"/>
      <c r="V26" s="774"/>
      <c r="W26" s="775"/>
      <c r="X26" s="1813"/>
      <c r="Y26" s="3174"/>
      <c r="Z26" s="1814"/>
      <c r="AA26" s="1811">
        <v>1</v>
      </c>
      <c r="AB26" s="1811">
        <v>1</v>
      </c>
      <c r="AC26" s="267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1"/>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1">
        <f t="shared" si="5"/>
        <v>1</v>
      </c>
    </row>
    <row r="28" spans="1:29" s="117" customFormat="1" ht="15">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81"/>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81"/>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81"/>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175" t="s">
        <v>2561</v>
      </c>
      <c r="Q33" s="1810" t="str">
        <f t="shared" si="11"/>
        <v>建筑类型</v>
      </c>
      <c r="R33" s="774" t="s">
        <v>17</v>
      </c>
      <c r="S33" s="775">
        <f t="shared" si="12"/>
        <v>100</v>
      </c>
      <c r="T33" s="774" t="s">
        <v>17</v>
      </c>
      <c r="U33" s="775">
        <f t="shared" si="13"/>
        <v>100</v>
      </c>
      <c r="V33" s="774" t="s">
        <v>17</v>
      </c>
      <c r="W33" s="775">
        <f t="shared" si="14"/>
        <v>100</v>
      </c>
      <c r="X33" s="1813"/>
      <c r="Y33" s="3178" t="s">
        <v>2561</v>
      </c>
      <c r="Z33" s="1814" t="str">
        <f t="shared" si="15"/>
        <v>建筑类型</v>
      </c>
      <c r="AA33" s="1811">
        <f t="shared" si="3"/>
        <v>1</v>
      </c>
      <c r="AB33" s="1811">
        <f t="shared" si="4"/>
        <v>1</v>
      </c>
      <c r="AC33" s="267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6"/>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6"/>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6"/>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6"/>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6" t="s">
        <v>2561</v>
      </c>
      <c r="Q39" s="1810" t="str">
        <f t="shared" si="11"/>
        <v>物业管理</v>
      </c>
      <c r="R39" s="774" t="s">
        <v>17</v>
      </c>
      <c r="S39" s="775">
        <f t="shared" si="12"/>
        <v>100</v>
      </c>
      <c r="T39" s="774" t="s">
        <v>17</v>
      </c>
      <c r="U39" s="775">
        <f t="shared" si="13"/>
        <v>100</v>
      </c>
      <c r="V39" s="774" t="s">
        <v>17</v>
      </c>
      <c r="W39" s="775">
        <f t="shared" si="14"/>
        <v>100</v>
      </c>
      <c r="X39" s="1813"/>
      <c r="Y39" s="3178" t="s">
        <v>2561</v>
      </c>
      <c r="Z39" s="1814" t="str">
        <f t="shared" si="15"/>
        <v>物业管理</v>
      </c>
      <c r="AA39" s="1811">
        <f t="shared" si="3"/>
        <v>1</v>
      </c>
      <c r="AB39" s="1811">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6"/>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6"/>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1">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6"/>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176"/>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6"/>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6"/>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7"/>
      <c r="Q47" s="1810">
        <f t="shared" si="11"/>
        <v>111</v>
      </c>
      <c r="R47" s="774" t="s">
        <v>17</v>
      </c>
      <c r="S47" s="775">
        <f t="shared" si="12"/>
        <v>100</v>
      </c>
      <c r="T47" s="774" t="s">
        <v>17</v>
      </c>
      <c r="U47" s="775">
        <f t="shared" si="13"/>
        <v>100</v>
      </c>
      <c r="V47" s="774" t="s">
        <v>17</v>
      </c>
      <c r="W47" s="775">
        <f t="shared" si="14"/>
        <v>100</v>
      </c>
      <c r="X47" s="1813"/>
      <c r="Y47" s="3179"/>
      <c r="Z47" s="1814">
        <f t="shared" si="15"/>
        <v>111</v>
      </c>
      <c r="AA47" s="1811">
        <f t="shared" si="3"/>
        <v>1</v>
      </c>
      <c r="AB47" s="1811">
        <f t="shared" si="4"/>
        <v>1</v>
      </c>
      <c r="AC47" s="2671">
        <f t="shared" si="5"/>
        <v>1</v>
      </c>
    </row>
    <row r="48" spans="1:29" ht="15">
      <c r="A48" s="479" t="s">
        <v>2573</v>
      </c>
      <c r="B48" s="480"/>
      <c r="C48" s="1407" t="s">
        <v>1</v>
      </c>
      <c r="D48" s="1408"/>
      <c r="E48" s="1409"/>
      <c r="F48" s="1410"/>
      <c r="G48" s="1411"/>
      <c r="H48" s="1412"/>
      <c r="I48" s="1409"/>
      <c r="J48" s="485"/>
      <c r="K48" s="783"/>
      <c r="L48" s="1143"/>
      <c r="M48" s="1131"/>
      <c r="N48" s="1131"/>
      <c r="O48" s="1131"/>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8"/>
      <c r="Q58" s="504"/>
    </row>
    <row r="59" spans="1:29" s="508" customFormat="1" ht="15">
      <c r="A59" s="505" t="s">
        <v>2544</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2584</v>
      </c>
      <c r="B64" s="528" t="s">
        <v>2550</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2695</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2559</v>
      </c>
      <c r="B101" s="528" t="s">
        <v>2608</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2610</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2612</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2613</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2614</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2697</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2616</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6" t="s">
        <v>2698</v>
      </c>
      <c r="C1" s="1620" t="s">
        <v>2526</v>
      </c>
      <c r="D1" s="1621"/>
      <c r="E1" s="1630"/>
      <c r="F1" s="2581"/>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3"/>
      <c r="D2" s="1124" t="e">
        <f ca="1">SUMIF(INDIRECT("'"&amp;F2&amp;"'"&amp;"!A:A"),"承租人权益价值",INDIRECT("'"&amp;F2&amp;"'"&amp;"!c:c"))</f>
        <v>#REF!</v>
      </c>
      <c r="E2" s="2584" t="s">
        <v>2324</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10338.94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184" t="s">
        <v>2644</v>
      </c>
      <c r="AC4" s="3183" t="s">
        <v>2645</v>
      </c>
    </row>
    <row r="5" spans="1:29"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2542</v>
      </c>
      <c r="D6" s="3204"/>
      <c r="E6" s="3210" t="s">
        <v>2542</v>
      </c>
      <c r="F6" s="3211"/>
      <c r="G6" s="3203" t="s">
        <v>2542</v>
      </c>
      <c r="H6" s="3204"/>
      <c r="I6" s="3203" t="s">
        <v>2542</v>
      </c>
      <c r="J6" s="3204"/>
      <c r="K6" s="610" t="s">
        <v>2543</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2544</v>
      </c>
      <c r="B7" s="409"/>
      <c r="C7" s="410">
        <f>'数据-取费表'!B2</f>
        <v>43754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2545</v>
      </c>
      <c r="Q7" s="3209"/>
      <c r="R7" s="770" t="s">
        <v>17</v>
      </c>
      <c r="S7" s="771">
        <f t="shared" ref="S7:S15" si="0">F7</f>
        <v>0</v>
      </c>
      <c r="T7" s="770" t="s">
        <v>17</v>
      </c>
      <c r="U7" s="771">
        <f t="shared" ref="U7:U15" si="1">H7</f>
        <v>0</v>
      </c>
      <c r="V7" s="770" t="s">
        <v>17</v>
      </c>
      <c r="W7" s="771">
        <f t="shared" ref="W7:W15" si="2">J7</f>
        <v>0</v>
      </c>
      <c r="X7" s="772"/>
      <c r="Y7" s="3207" t="s">
        <v>2545</v>
      </c>
      <c r="Z7" s="320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2548</v>
      </c>
      <c r="Q8" s="3208"/>
      <c r="R8" s="770" t="s">
        <v>17</v>
      </c>
      <c r="S8" s="771">
        <f t="shared" si="0"/>
        <v>0</v>
      </c>
      <c r="T8" s="770" t="s">
        <v>17</v>
      </c>
      <c r="U8" s="771">
        <f t="shared" si="1"/>
        <v>0</v>
      </c>
      <c r="V8" s="770" t="s">
        <v>17</v>
      </c>
      <c r="W8" s="771">
        <f t="shared" si="2"/>
        <v>0</v>
      </c>
      <c r="X8" s="772"/>
      <c r="Y8" s="3207" t="s">
        <v>2548</v>
      </c>
      <c r="Z8" s="320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2556</v>
      </c>
      <c r="Q15" s="1810" t="str">
        <f t="shared" si="6"/>
        <v>产业集聚程度</v>
      </c>
      <c r="R15" s="774" t="s">
        <v>17</v>
      </c>
      <c r="S15" s="775">
        <f t="shared" si="0"/>
        <v>100</v>
      </c>
      <c r="T15" s="774" t="s">
        <v>17</v>
      </c>
      <c r="U15" s="775">
        <f t="shared" si="1"/>
        <v>100</v>
      </c>
      <c r="V15" s="774" t="s">
        <v>17</v>
      </c>
      <c r="W15" s="775">
        <f t="shared" si="2"/>
        <v>100</v>
      </c>
      <c r="X15" s="1813"/>
      <c r="Y15" s="3173"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2092</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29" t="s">
        <v>2561</v>
      </c>
      <c r="Q29" s="1810" t="str">
        <f t="shared" si="11"/>
        <v>建筑类型</v>
      </c>
      <c r="R29" s="774" t="s">
        <v>17</v>
      </c>
      <c r="S29" s="775">
        <f t="shared" si="12"/>
        <v>100</v>
      </c>
      <c r="T29" s="774" t="s">
        <v>17</v>
      </c>
      <c r="U29" s="775">
        <f t="shared" si="13"/>
        <v>100</v>
      </c>
      <c r="V29" s="774" t="s">
        <v>17</v>
      </c>
      <c r="W29" s="775">
        <f t="shared" si="14"/>
        <v>100</v>
      </c>
      <c r="X29" s="1813"/>
      <c r="Y29" s="3178"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2561</v>
      </c>
      <c r="Q35" s="1810" t="str">
        <f t="shared" si="11"/>
        <v>市政基础设施</v>
      </c>
      <c r="R35" s="774" t="s">
        <v>17</v>
      </c>
      <c r="S35" s="775">
        <f t="shared" si="12"/>
        <v>100</v>
      </c>
      <c r="T35" s="774" t="s">
        <v>17</v>
      </c>
      <c r="U35" s="775">
        <f t="shared" si="13"/>
        <v>100</v>
      </c>
      <c r="V35" s="774" t="s">
        <v>17</v>
      </c>
      <c r="W35" s="775">
        <f t="shared" si="14"/>
        <v>100</v>
      </c>
      <c r="X35" s="1813"/>
      <c r="Y35" s="3178"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9"/>
      <c r="Q40" s="1810">
        <f t="shared" si="11"/>
        <v>111</v>
      </c>
      <c r="R40" s="774" t="s">
        <v>17</v>
      </c>
      <c r="S40" s="775">
        <f t="shared" si="12"/>
        <v>100</v>
      </c>
      <c r="T40" s="774" t="s">
        <v>17</v>
      </c>
      <c r="U40" s="775">
        <f t="shared" si="13"/>
        <v>100</v>
      </c>
      <c r="V40" s="774" t="s">
        <v>17</v>
      </c>
      <c r="W40" s="775">
        <f t="shared" si="14"/>
        <v>100</v>
      </c>
      <c r="X40" s="1813"/>
      <c r="Y40" s="3179"/>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昆仑信托有限责任公司：</v>
      </c>
    </row>
    <row r="4" spans="1:1" ht="36">
      <c r="A4" s="1947" t="str">
        <f>"受贵公司委托，我公司对"&amp;项目基本情况!S1&amp;"进行了预评估。"</f>
        <v>受贵公司委托，我公司对上海市黄浦区西藏南路518-528号102、202、302室商业房地产抵押价值进行了预评估。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估价对象为上海市黄浦区西藏南路518-528号102、202、302室商业房地产，为武汉骏恒物业管理有限公司所有。根据，估价对象（分摊）出让国有建设用地使用权面积为0平方米，建筑面积为10338.94平方米。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黄浦区西藏南路518-528号102、202、302室商业房地产,属武汉骏恒物业管理有限公司开发建设的商业项目，该项目尚在开发建设中。根据，估价对象（分摊）出让国有建设用地使用权面积为0平方米，规划建筑面积为10338.94平方米。</v>
      </c>
    </row>
    <row r="11" spans="1:1" ht="76.5">
      <c r="A11" s="1950" t="s">
        <v>1610</v>
      </c>
    </row>
    <row r="12" spans="1:1" ht="18.75">
      <c r="A12" s="1948" t="s">
        <v>1611</v>
      </c>
    </row>
    <row r="13" spans="1:1" ht="38.25" customHeight="1">
      <c r="A13" s="1951" t="str">
        <f>IF(项目基本情况!B8="抵押",IF(项目基本情况!B5=项目基本情况!B6,定义!C51,定义!B51),定义!D51)</f>
        <v>武汉骏恒物业管理有限公司拟使用上海市黄浦区西藏南路518-528号102、202、302室商业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2019年10月16日（评估专业人员实地查勘之日）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16日，估价对象规划用途为，土地取得方式为出让，出让国有建设用地使用权剩余土地使用年限为16.13，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16.13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1"/>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3"/>
      <c r="D2" s="1124" t="e">
        <f ca="1">SUMIF(INDIRECT("'"&amp;F2&amp;"'"&amp;"!A:A"),"承租人权益价值",INDIRECT("'"&amp;F2&amp;"'"&amp;"!c:c"))</f>
        <v>#REF!</v>
      </c>
      <c r="E2" s="2584" t="s">
        <v>2324</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184" t="s">
        <v>2644</v>
      </c>
      <c r="AC4" s="3183" t="s">
        <v>2645</v>
      </c>
    </row>
    <row r="5" spans="1:29"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2542</v>
      </c>
      <c r="D6" s="3204"/>
      <c r="E6" s="3210" t="s">
        <v>2542</v>
      </c>
      <c r="F6" s="3211"/>
      <c r="G6" s="3203" t="s">
        <v>2542</v>
      </c>
      <c r="H6" s="3204"/>
      <c r="I6" s="3203" t="s">
        <v>2542</v>
      </c>
      <c r="J6" s="3204"/>
      <c r="K6" s="610" t="s">
        <v>2543</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2544</v>
      </c>
      <c r="B7" s="409"/>
      <c r="C7" s="410">
        <f>'数据-取费表'!B2</f>
        <v>43754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2545</v>
      </c>
      <c r="Q7" s="3209"/>
      <c r="R7" s="770" t="s">
        <v>17</v>
      </c>
      <c r="S7" s="771">
        <f t="shared" ref="S7:S14" si="0">F7</f>
        <v>0</v>
      </c>
      <c r="T7" s="770" t="s">
        <v>17</v>
      </c>
      <c r="U7" s="771">
        <f t="shared" ref="U7:U14" si="1">H7</f>
        <v>0</v>
      </c>
      <c r="V7" s="770" t="s">
        <v>17</v>
      </c>
      <c r="W7" s="771">
        <f t="shared" ref="W7:W14" si="2">J7</f>
        <v>0</v>
      </c>
      <c r="X7" s="772"/>
      <c r="Y7" s="3207" t="s">
        <v>2545</v>
      </c>
      <c r="Z7" s="320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2548</v>
      </c>
      <c r="Q8" s="3208"/>
      <c r="R8" s="770" t="s">
        <v>17</v>
      </c>
      <c r="S8" s="771">
        <f t="shared" si="0"/>
        <v>0</v>
      </c>
      <c r="T8" s="770" t="s">
        <v>17</v>
      </c>
      <c r="U8" s="771">
        <f t="shared" si="1"/>
        <v>0</v>
      </c>
      <c r="V8" s="770" t="s">
        <v>17</v>
      </c>
      <c r="W8" s="771">
        <f t="shared" si="2"/>
        <v>0</v>
      </c>
      <c r="X8" s="772"/>
      <c r="Y8" s="3207" t="s">
        <v>2548</v>
      </c>
      <c r="Z8" s="320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2551</v>
      </c>
      <c r="Q9" s="1795" t="str">
        <f t="shared" ref="Q9:Q14" si="6">B9</f>
        <v>用途</v>
      </c>
      <c r="R9" s="770" t="s">
        <v>17</v>
      </c>
      <c r="S9" s="771">
        <f t="shared" si="0"/>
        <v>100</v>
      </c>
      <c r="T9" s="770" t="s">
        <v>17</v>
      </c>
      <c r="U9" s="771">
        <f t="shared" si="1"/>
        <v>100</v>
      </c>
      <c r="V9" s="770" t="s">
        <v>17</v>
      </c>
      <c r="W9" s="771">
        <f t="shared" si="2"/>
        <v>100</v>
      </c>
      <c r="X9" s="772"/>
      <c r="Y9" s="2997"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2555</v>
      </c>
      <c r="B14" s="629" t="s">
        <v>2705</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2556</v>
      </c>
      <c r="Q14" s="1810" t="str">
        <f t="shared" si="6"/>
        <v>交通便捷度</v>
      </c>
      <c r="R14" s="774" t="s">
        <v>17</v>
      </c>
      <c r="S14" s="775">
        <f t="shared" si="0"/>
        <v>100</v>
      </c>
      <c r="T14" s="774" t="s">
        <v>17</v>
      </c>
      <c r="U14" s="775">
        <f t="shared" si="1"/>
        <v>100</v>
      </c>
      <c r="V14" s="774" t="s">
        <v>17</v>
      </c>
      <c r="W14" s="775">
        <f t="shared" si="2"/>
        <v>100</v>
      </c>
      <c r="X14" s="1813"/>
      <c r="Y14" s="3173"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2684</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2685</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2706</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2561</v>
      </c>
      <c r="Q32" s="1810" t="str">
        <f t="shared" si="11"/>
        <v>车位类型</v>
      </c>
      <c r="R32" s="774" t="s">
        <v>17</v>
      </c>
      <c r="S32" s="775">
        <f t="shared" si="12"/>
        <v>100</v>
      </c>
      <c r="T32" s="774" t="s">
        <v>17</v>
      </c>
      <c r="U32" s="775">
        <f t="shared" si="13"/>
        <v>100</v>
      </c>
      <c r="V32" s="774" t="s">
        <v>17</v>
      </c>
      <c r="W32" s="775">
        <f t="shared" si="14"/>
        <v>100</v>
      </c>
      <c r="X32" s="1813"/>
      <c r="Y32" s="3178"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2716</v>
      </c>
      <c r="B37" s="2692" t="s">
        <v>2717</v>
      </c>
      <c r="C37" s="1407" t="s">
        <v>1</v>
      </c>
      <c r="D37" s="1408"/>
      <c r="E37" s="1409"/>
      <c r="F37" s="1410"/>
      <c r="G37" s="1411"/>
      <c r="H37" s="1412"/>
      <c r="I37" s="1409"/>
      <c r="J37" s="1412"/>
      <c r="K37" s="619"/>
      <c r="L37" s="1143"/>
      <c r="M37" s="1144"/>
      <c r="N37" s="1131"/>
      <c r="O37" s="1144"/>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1"/>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3"/>
      <c r="D2" s="1124" t="e">
        <f ca="1">SUMIF(INDIRECT("'"&amp;F2&amp;"'"&amp;"!A:A"),"承租人权益价值",INDIRECT("'"&amp;F2&amp;"'"&amp;"!c:c"))</f>
        <v>#REF!</v>
      </c>
      <c r="E2" s="2584" t="s">
        <v>2324</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184" t="s">
        <v>2644</v>
      </c>
      <c r="AC4" s="3183" t="s">
        <v>2645</v>
      </c>
    </row>
    <row r="5" spans="1:29"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2542</v>
      </c>
      <c r="D6" s="3204"/>
      <c r="E6" s="3210" t="s">
        <v>2542</v>
      </c>
      <c r="F6" s="3211"/>
      <c r="G6" s="3203" t="s">
        <v>2542</v>
      </c>
      <c r="H6" s="3204"/>
      <c r="I6" s="3203" t="s">
        <v>2542</v>
      </c>
      <c r="J6" s="3204"/>
      <c r="K6" s="610" t="s">
        <v>2543</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2544</v>
      </c>
      <c r="B7" s="409"/>
      <c r="C7" s="410">
        <f>'数据-取费表'!B2</f>
        <v>43754</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07" t="s">
        <v>2545</v>
      </c>
      <c r="Q7" s="3209"/>
      <c r="R7" s="770" t="s">
        <v>17</v>
      </c>
      <c r="S7" s="771">
        <f t="shared" ref="S7:S14" si="0">F7</f>
        <v>0</v>
      </c>
      <c r="T7" s="770" t="s">
        <v>17</v>
      </c>
      <c r="U7" s="771">
        <f t="shared" ref="U7:U14" si="1">H7</f>
        <v>0</v>
      </c>
      <c r="V7" s="770" t="s">
        <v>17</v>
      </c>
      <c r="W7" s="771">
        <f t="shared" ref="W7:W14" si="2">J7</f>
        <v>0</v>
      </c>
      <c r="X7" s="772"/>
      <c r="Y7" s="3207" t="s">
        <v>2545</v>
      </c>
      <c r="Z7" s="320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2548</v>
      </c>
      <c r="Q8" s="3208"/>
      <c r="R8" s="770" t="s">
        <v>17</v>
      </c>
      <c r="S8" s="771">
        <f t="shared" si="0"/>
        <v>0</v>
      </c>
      <c r="T8" s="770" t="s">
        <v>17</v>
      </c>
      <c r="U8" s="771">
        <f t="shared" si="1"/>
        <v>0</v>
      </c>
      <c r="V8" s="770" t="s">
        <v>17</v>
      </c>
      <c r="W8" s="771">
        <f t="shared" si="2"/>
        <v>0</v>
      </c>
      <c r="X8" s="772"/>
      <c r="Y8" s="3207" t="s">
        <v>2548</v>
      </c>
      <c r="Z8" s="320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2551</v>
      </c>
      <c r="Q9" s="1795" t="str">
        <f t="shared" ref="Q9:Q14" si="6">B9</f>
        <v>用途</v>
      </c>
      <c r="R9" s="770" t="s">
        <v>17</v>
      </c>
      <c r="S9" s="771">
        <f t="shared" si="0"/>
        <v>100</v>
      </c>
      <c r="T9" s="770" t="s">
        <v>17</v>
      </c>
      <c r="U9" s="771">
        <f t="shared" si="1"/>
        <v>100</v>
      </c>
      <c r="V9" s="770" t="s">
        <v>17</v>
      </c>
      <c r="W9" s="771">
        <f t="shared" si="2"/>
        <v>100</v>
      </c>
      <c r="X9" s="772"/>
      <c r="Y9" s="2997"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2555</v>
      </c>
      <c r="B14" s="69" t="s">
        <v>2705</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2556</v>
      </c>
      <c r="Q14" s="1810" t="str">
        <f t="shared" si="6"/>
        <v>交通便捷度</v>
      </c>
      <c r="R14" s="774" t="s">
        <v>17</v>
      </c>
      <c r="S14" s="775">
        <f t="shared" si="0"/>
        <v>100</v>
      </c>
      <c r="T14" s="774" t="s">
        <v>17</v>
      </c>
      <c r="U14" s="775">
        <f t="shared" si="1"/>
        <v>100</v>
      </c>
      <c r="V14" s="774" t="s">
        <v>17</v>
      </c>
      <c r="W14" s="775">
        <f t="shared" si="2"/>
        <v>100</v>
      </c>
      <c r="X14" s="1813"/>
      <c r="Y14" s="3173"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2684</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2685</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2706</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2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2561</v>
      </c>
      <c r="Q32" s="1810">
        <f t="shared" si="11"/>
        <v>111</v>
      </c>
      <c r="R32" s="774" t="s">
        <v>17</v>
      </c>
      <c r="S32" s="775">
        <f t="shared" si="12"/>
        <v>100</v>
      </c>
      <c r="T32" s="774" t="s">
        <v>17</v>
      </c>
      <c r="U32" s="775">
        <f t="shared" si="13"/>
        <v>100</v>
      </c>
      <c r="V32" s="774" t="s">
        <v>17</v>
      </c>
      <c r="W32" s="775">
        <f t="shared" si="14"/>
        <v>100</v>
      </c>
      <c r="X32" s="1813"/>
      <c r="Y32" s="3178" t="s">
        <v>2561</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184" t="s">
        <v>2644</v>
      </c>
      <c r="AC4" s="3183" t="s">
        <v>2645</v>
      </c>
    </row>
    <row r="5" spans="1:30"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184"/>
      <c r="AC5" s="3184"/>
    </row>
    <row r="6" spans="1:30" ht="15.75" thickBot="1">
      <c r="A6" s="406"/>
      <c r="B6" s="407"/>
      <c r="C6" s="3203" t="s">
        <v>2542</v>
      </c>
      <c r="D6" s="3204"/>
      <c r="E6" s="3210" t="s">
        <v>2542</v>
      </c>
      <c r="F6" s="3211"/>
      <c r="G6" s="3203" t="s">
        <v>2542</v>
      </c>
      <c r="H6" s="3204"/>
      <c r="I6" s="3203" t="s">
        <v>2542</v>
      </c>
      <c r="J6" s="3204"/>
      <c r="K6" s="610" t="s">
        <v>2543</v>
      </c>
      <c r="L6" s="1130"/>
      <c r="M6" s="1131"/>
      <c r="N6" s="1131"/>
      <c r="O6" s="1131"/>
      <c r="P6" s="3194"/>
      <c r="Q6" s="3195"/>
      <c r="R6" s="3198"/>
      <c r="S6" s="3199"/>
      <c r="T6" s="3200"/>
      <c r="U6" s="3201"/>
      <c r="V6" s="3202"/>
      <c r="W6" s="3202"/>
      <c r="X6" s="1813"/>
      <c r="Y6" s="3200"/>
      <c r="Z6" s="3201"/>
      <c r="AA6" s="3185"/>
      <c r="AB6" s="3185"/>
      <c r="AC6" s="3185"/>
    </row>
    <row r="7" spans="1:30" s="117" customFormat="1" ht="15.75" thickBot="1">
      <c r="A7" s="408" t="s">
        <v>2544</v>
      </c>
      <c r="B7" s="409"/>
      <c r="C7" s="410">
        <f>'数据-取费表'!B2</f>
        <v>43754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07" t="s">
        <v>2545</v>
      </c>
      <c r="Q7" s="3209"/>
      <c r="R7" s="770" t="s">
        <v>17</v>
      </c>
      <c r="S7" s="771">
        <f t="shared" ref="S7:S15" si="0">F7</f>
        <v>0</v>
      </c>
      <c r="T7" s="770" t="s">
        <v>17</v>
      </c>
      <c r="U7" s="771">
        <f t="shared" ref="U7:U15" si="1">H7</f>
        <v>0</v>
      </c>
      <c r="V7" s="770" t="s">
        <v>17</v>
      </c>
      <c r="W7" s="771">
        <f t="shared" ref="W7:W15" si="2">J7</f>
        <v>0</v>
      </c>
      <c r="X7" s="772"/>
      <c r="Y7" s="3207" t="s">
        <v>2545</v>
      </c>
      <c r="Z7" s="320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2548</v>
      </c>
      <c r="Q8" s="3208"/>
      <c r="R8" s="770" t="s">
        <v>17</v>
      </c>
      <c r="S8" s="771">
        <f t="shared" si="0"/>
        <v>0</v>
      </c>
      <c r="T8" s="770" t="s">
        <v>17</v>
      </c>
      <c r="U8" s="771">
        <f t="shared" si="1"/>
        <v>0</v>
      </c>
      <c r="V8" s="770" t="s">
        <v>17</v>
      </c>
      <c r="W8" s="771">
        <f t="shared" si="2"/>
        <v>0</v>
      </c>
      <c r="X8" s="772"/>
      <c r="Y8" s="3207" t="s">
        <v>2548</v>
      </c>
      <c r="Z8" s="3208"/>
      <c r="AA8" s="773" t="e">
        <f t="shared" ref="AA8:AA45" si="3">D8/F8</f>
        <v>#DIV/0!</v>
      </c>
      <c r="AB8" s="773" t="e">
        <f t="shared" ref="AB8:AB45" si="4">D8/H8</f>
        <v>#DIV/0!</v>
      </c>
      <c r="AC8" s="773"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71"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157</v>
      </c>
      <c r="G10" s="463"/>
      <c r="H10" s="136">
        <f>ROUND(100/'数据-取费表'!G16,0)</f>
        <v>157</v>
      </c>
      <c r="I10" s="463"/>
      <c r="J10" s="136">
        <f>ROUND(100/'数据-取费表'!G16,0)</f>
        <v>157</v>
      </c>
      <c r="K10" s="672"/>
      <c r="L10" s="1135"/>
      <c r="M10" s="1136"/>
      <c r="N10" s="1136"/>
      <c r="O10" s="1137"/>
      <c r="P10" s="3171"/>
      <c r="Q10" s="1795" t="str">
        <f t="shared" si="6"/>
        <v>土地使用年限（年）</v>
      </c>
      <c r="R10" s="770" t="s">
        <v>17</v>
      </c>
      <c r="S10" s="771">
        <f t="shared" si="0"/>
        <v>157</v>
      </c>
      <c r="T10" s="770" t="s">
        <v>17</v>
      </c>
      <c r="U10" s="771">
        <f t="shared" si="1"/>
        <v>157</v>
      </c>
      <c r="V10" s="770" t="s">
        <v>17</v>
      </c>
      <c r="W10" s="771">
        <f t="shared" si="2"/>
        <v>157</v>
      </c>
      <c r="X10" s="772"/>
      <c r="Y10" s="2997"/>
      <c r="Z10" s="55" t="str">
        <f t="shared" si="7"/>
        <v>土地使用年限（年）</v>
      </c>
      <c r="AA10" s="773">
        <f t="shared" si="3"/>
        <v>0.63694267515923564</v>
      </c>
      <c r="AB10" s="773">
        <f t="shared" si="4"/>
        <v>0.63694267515923564</v>
      </c>
      <c r="AC10" s="773">
        <f t="shared" si="5"/>
        <v>0.63694267515923564</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2555</v>
      </c>
      <c r="B15" s="69" t="s">
        <v>2080</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3" t="s">
        <v>2556</v>
      </c>
      <c r="Q15" s="1810" t="str">
        <f t="shared" si="6"/>
        <v>居住社区成熟度</v>
      </c>
      <c r="R15" s="774" t="s">
        <v>17</v>
      </c>
      <c r="S15" s="775">
        <f t="shared" si="0"/>
        <v>100</v>
      </c>
      <c r="T15" s="774" t="s">
        <v>17</v>
      </c>
      <c r="U15" s="775">
        <f t="shared" si="1"/>
        <v>100</v>
      </c>
      <c r="V15" s="774" t="s">
        <v>17</v>
      </c>
      <c r="W15" s="775">
        <f t="shared" si="2"/>
        <v>100</v>
      </c>
      <c r="X15" s="1813"/>
      <c r="Y15" s="3173" t="s">
        <v>2556</v>
      </c>
      <c r="Z15" s="1814" t="str">
        <f t="shared" si="7"/>
        <v>居住社区成熟度</v>
      </c>
      <c r="AA15" s="1811">
        <f t="shared" si="3"/>
        <v>1</v>
      </c>
      <c r="AB15" s="1811">
        <f t="shared" si="4"/>
        <v>1</v>
      </c>
      <c r="AC15" s="1811">
        <f t="shared" si="5"/>
        <v>1</v>
      </c>
    </row>
    <row r="16" spans="1:30" ht="15">
      <c r="A16" s="428"/>
      <c r="B16" s="446"/>
      <c r="C16" s="447"/>
      <c r="D16" s="448"/>
      <c r="E16" s="2602"/>
      <c r="F16" s="448"/>
      <c r="G16" s="2602"/>
      <c r="H16" s="450"/>
      <c r="I16" s="2601"/>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2649</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4"/>
      <c r="Q17" s="1810" t="str">
        <f>B17</f>
        <v>商业繁华度</v>
      </c>
      <c r="R17" s="774" t="s">
        <v>17</v>
      </c>
      <c r="S17" s="775">
        <f>F17</f>
        <v>100</v>
      </c>
      <c r="T17" s="774" t="s">
        <v>17</v>
      </c>
      <c r="U17" s="775">
        <f>H17</f>
        <v>100</v>
      </c>
      <c r="V17" s="774" t="s">
        <v>17</v>
      </c>
      <c r="W17" s="775">
        <f>J17</f>
        <v>100</v>
      </c>
      <c r="X17" s="1813"/>
      <c r="Y17" s="3174"/>
      <c r="Z17" s="1814" t="str">
        <f>Q17</f>
        <v>商业繁华度</v>
      </c>
      <c r="AA17" s="1811">
        <f t="shared" si="3"/>
        <v>1</v>
      </c>
      <c r="AB17" s="1811">
        <f t="shared" si="4"/>
        <v>1</v>
      </c>
      <c r="AC17" s="1811">
        <f t="shared" si="5"/>
        <v>1</v>
      </c>
    </row>
    <row r="18" spans="1:29" ht="15">
      <c r="A18" s="428"/>
      <c r="B18" s="456"/>
      <c r="C18" s="2605"/>
      <c r="D18" s="450"/>
      <c r="E18" s="2607"/>
      <c r="F18" s="450"/>
      <c r="G18" s="2607"/>
      <c r="H18" s="448"/>
      <c r="I18" s="2606"/>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c r="A19" s="428"/>
      <c r="B19" s="451" t="s">
        <v>2683</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c r="A20" s="428"/>
      <c r="B20" s="456"/>
      <c r="C20" s="447"/>
      <c r="D20" s="448"/>
      <c r="E20" s="2602"/>
      <c r="F20" s="448"/>
      <c r="G20" s="2602"/>
      <c r="H20" s="448"/>
      <c r="I20" s="2601"/>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2705</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4"/>
      <c r="Q21" s="1810" t="str">
        <f>B21</f>
        <v>交通便捷度</v>
      </c>
      <c r="R21" s="774" t="s">
        <v>17</v>
      </c>
      <c r="S21" s="775">
        <f>F21</f>
        <v>100</v>
      </c>
      <c r="T21" s="774" t="s">
        <v>17</v>
      </c>
      <c r="U21" s="775">
        <f>H21</f>
        <v>100</v>
      </c>
      <c r="V21" s="774" t="s">
        <v>17</v>
      </c>
      <c r="W21" s="775">
        <f>J21</f>
        <v>100</v>
      </c>
      <c r="X21" s="1813"/>
      <c r="Y21" s="3174"/>
      <c r="Z21" s="1814" t="str">
        <f>Q21</f>
        <v>交通便捷度</v>
      </c>
      <c r="AA21" s="1811">
        <f t="shared" si="3"/>
        <v>1</v>
      </c>
      <c r="AB21" s="1811">
        <f t="shared" si="4"/>
        <v>1</v>
      </c>
      <c r="AC21" s="1811">
        <f t="shared" si="5"/>
        <v>1</v>
      </c>
    </row>
    <row r="22" spans="1:29" ht="15">
      <c r="A22" s="428"/>
      <c r="B22" s="1384"/>
      <c r="C22" s="447"/>
      <c r="D22" s="450"/>
      <c r="E22" s="2602"/>
      <c r="F22" s="448"/>
      <c r="G22" s="2602"/>
      <c r="H22" s="448"/>
      <c r="I22" s="2601"/>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c r="D24" s="448"/>
      <c r="E24" s="2602"/>
      <c r="F24" s="448"/>
      <c r="G24" s="2601"/>
      <c r="H24" s="448"/>
      <c r="I24" s="2601"/>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2745</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4"/>
      <c r="Q25" s="1810" t="str">
        <f t="shared" si="8"/>
        <v>自然及人文环境状况</v>
      </c>
      <c r="R25" s="774" t="s">
        <v>17</v>
      </c>
      <c r="S25" s="775">
        <f>F25</f>
        <v>100</v>
      </c>
      <c r="T25" s="774" t="s">
        <v>17</v>
      </c>
      <c r="U25" s="775">
        <f>H25</f>
        <v>100</v>
      </c>
      <c r="V25" s="774" t="s">
        <v>17</v>
      </c>
      <c r="W25" s="775">
        <f>J25</f>
        <v>100</v>
      </c>
      <c r="X25" s="1813"/>
      <c r="Y25" s="3174"/>
      <c r="Z25" s="1814" t="str">
        <f>Q25</f>
        <v>自然及人文环境状况</v>
      </c>
      <c r="AA25" s="1811">
        <f t="shared" si="3"/>
        <v>1</v>
      </c>
      <c r="AB25" s="1811">
        <f t="shared" si="4"/>
        <v>1</v>
      </c>
      <c r="AC25" s="1811">
        <f t="shared" si="5"/>
        <v>1</v>
      </c>
    </row>
    <row r="26" spans="1:29" ht="15">
      <c r="A26" s="404"/>
      <c r="B26" s="456"/>
      <c r="C26" s="447"/>
      <c r="D26" s="448"/>
      <c r="E26" s="2608"/>
      <c r="F26" s="448"/>
      <c r="G26" s="2608"/>
      <c r="H26" s="448"/>
      <c r="I26" s="447"/>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2650</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4"/>
      <c r="Q27" s="1795" t="str">
        <f t="shared" si="8"/>
        <v>公共配套设施</v>
      </c>
      <c r="R27" s="770" t="s">
        <v>17</v>
      </c>
      <c r="S27" s="771">
        <f>F27</f>
        <v>100</v>
      </c>
      <c r="T27" s="770" t="s">
        <v>17</v>
      </c>
      <c r="U27" s="771">
        <f>H27</f>
        <v>100</v>
      </c>
      <c r="V27" s="770" t="s">
        <v>17</v>
      </c>
      <c r="W27" s="771">
        <f>J27</f>
        <v>100</v>
      </c>
      <c r="X27" s="772"/>
      <c r="Y27" s="3174"/>
      <c r="Z27" s="55" t="str">
        <f>Q27</f>
        <v>公共配套设施</v>
      </c>
      <c r="AA27" s="1811">
        <f>D27/F27</f>
        <v>1</v>
      </c>
      <c r="AB27" s="1811">
        <f>D27/H27</f>
        <v>1</v>
      </c>
      <c r="AC27" s="1811">
        <f>D27/J27</f>
        <v>1</v>
      </c>
    </row>
    <row r="28" spans="1:29" s="117" customFormat="1" ht="15">
      <c r="A28" s="649"/>
      <c r="B28" s="456"/>
      <c r="C28" s="2697"/>
      <c r="D28" s="448"/>
      <c r="E28" s="2608"/>
      <c r="F28" s="448"/>
      <c r="G28" s="2608"/>
      <c r="H28" s="448"/>
      <c r="I28" s="447"/>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2651</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10" t="str">
        <f t="shared" si="8"/>
        <v>毗邻道路的类型与等级</v>
      </c>
      <c r="R32" s="774" t="s">
        <v>17</v>
      </c>
      <c r="S32" s="775">
        <f t="shared" si="10"/>
        <v>100</v>
      </c>
      <c r="T32" s="774" t="s">
        <v>17</v>
      </c>
      <c r="U32" s="775">
        <f t="shared" si="11"/>
        <v>100</v>
      </c>
      <c r="V32" s="774" t="s">
        <v>17</v>
      </c>
      <c r="W32" s="775">
        <f t="shared" si="12"/>
        <v>100</v>
      </c>
      <c r="X32" s="1813"/>
      <c r="Y32" s="3174"/>
      <c r="Z32" s="1814" t="str">
        <f t="shared" si="13"/>
        <v>毗邻道路的类型与等级</v>
      </c>
      <c r="AA32" s="1811">
        <f t="shared" si="3"/>
        <v>1</v>
      </c>
      <c r="AB32" s="1811">
        <f t="shared" si="4"/>
        <v>1</v>
      </c>
      <c r="AC32" s="1811">
        <f t="shared" si="5"/>
        <v>1</v>
      </c>
    </row>
    <row r="33" spans="1:29" ht="15">
      <c r="A33" s="428"/>
      <c r="B33" s="456"/>
      <c r="C33" s="447"/>
      <c r="D33" s="448"/>
      <c r="E33" s="2608"/>
      <c r="F33" s="448"/>
      <c r="G33" s="2608"/>
      <c r="H33" s="448"/>
      <c r="I33" s="447"/>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2561</v>
      </c>
      <c r="Q36" s="1810">
        <f t="shared" si="8"/>
        <v>111</v>
      </c>
      <c r="R36" s="774" t="s">
        <v>17</v>
      </c>
      <c r="S36" s="775">
        <f t="shared" si="10"/>
        <v>100</v>
      </c>
      <c r="T36" s="774" t="s">
        <v>17</v>
      </c>
      <c r="U36" s="775">
        <f t="shared" si="11"/>
        <v>100</v>
      </c>
      <c r="V36" s="774" t="s">
        <v>17</v>
      </c>
      <c r="W36" s="775">
        <f t="shared" si="12"/>
        <v>100</v>
      </c>
      <c r="X36" s="1813"/>
      <c r="Y36" s="3178"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8"/>
      <c r="Q38" s="1810" t="str">
        <f>B38</f>
        <v>宗地面积</v>
      </c>
      <c r="R38" s="774" t="s">
        <v>17</v>
      </c>
      <c r="S38" s="775" t="e">
        <f t="shared" si="10"/>
        <v>#N/A</v>
      </c>
      <c r="T38" s="774" t="s">
        <v>17</v>
      </c>
      <c r="U38" s="775" t="e">
        <f t="shared" si="11"/>
        <v>#N/A</v>
      </c>
      <c r="V38" s="774" t="s">
        <v>17</v>
      </c>
      <c r="W38" s="775" t="e">
        <f t="shared" si="12"/>
        <v>#N/A</v>
      </c>
      <c r="X38" s="1813"/>
      <c r="Y38" s="3178"/>
      <c r="Z38" s="1814" t="str">
        <f t="shared" si="13"/>
        <v>宗地面积</v>
      </c>
      <c r="AA38" s="1811" t="e">
        <f t="shared" si="3"/>
        <v>#N/A</v>
      </c>
      <c r="AB38" s="1811" t="e">
        <f t="shared" si="4"/>
        <v>#N/A</v>
      </c>
      <c r="AC38" s="1811"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178" t="s">
        <v>2561</v>
      </c>
      <c r="Q42" s="1810" t="str">
        <f t="shared" si="14"/>
        <v>工程地质条件</v>
      </c>
      <c r="R42" s="774" t="s">
        <v>17</v>
      </c>
      <c r="S42" s="775">
        <f t="shared" si="10"/>
        <v>100</v>
      </c>
      <c r="T42" s="774" t="s">
        <v>17</v>
      </c>
      <c r="U42" s="775">
        <f t="shared" si="11"/>
        <v>100</v>
      </c>
      <c r="V42" s="774" t="s">
        <v>17</v>
      </c>
      <c r="W42" s="775">
        <f t="shared" si="12"/>
        <v>100</v>
      </c>
      <c r="X42" s="1813"/>
      <c r="Y42" s="3178"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2716</v>
      </c>
      <c r="B46" s="2701" t="s">
        <v>2752</v>
      </c>
      <c r="C46" s="682" t="s">
        <v>1</v>
      </c>
      <c r="D46" s="481"/>
      <c r="E46" s="482"/>
      <c r="F46" s="483"/>
      <c r="G46" s="484"/>
      <c r="H46" s="485"/>
      <c r="I46" s="482"/>
      <c r="J46" s="485"/>
      <c r="K46" s="783"/>
      <c r="L46" s="1143"/>
      <c r="M46" s="1144"/>
      <c r="N46" s="1131"/>
      <c r="O46" s="1144"/>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2" t="s">
        <v>2756</v>
      </c>
      <c r="D55" s="2703" t="s">
        <v>2757</v>
      </c>
      <c r="E55" s="686" t="s">
        <v>2758</v>
      </c>
      <c r="F55" s="1107" t="s">
        <v>2759</v>
      </c>
      <c r="G55" s="3186" t="s">
        <v>2760</v>
      </c>
      <c r="H55" s="3232"/>
      <c r="I55" s="144" t="s">
        <v>2761</v>
      </c>
      <c r="J55" s="2704" t="str">
        <f>项目基本情况!F35</f>
        <v>上海市黄浦区</v>
      </c>
      <c r="K55" s="2705" t="s">
        <v>2762</v>
      </c>
      <c r="L55" s="1106"/>
      <c r="M55" s="1144"/>
      <c r="N55" s="1144"/>
      <c r="O55" s="1144"/>
    </row>
    <row r="56" spans="1:15" s="692" customFormat="1">
      <c r="A56" s="688" t="s">
        <v>2763</v>
      </c>
      <c r="B56" s="689" t="e">
        <f>C48</f>
        <v>#DIV/0!</v>
      </c>
      <c r="C56" s="690">
        <v>1</v>
      </c>
      <c r="D56" s="1163">
        <v>1</v>
      </c>
      <c r="E56" s="690">
        <f>'数据-汇总表'!E8+'数据-汇总表'!E9</f>
        <v>10338.94</v>
      </c>
      <c r="F56" s="1103" t="e">
        <f t="shared" ref="F56:F65" si="15">ROUND(B56*E56/10000,0)</f>
        <v>#DIV/0!</v>
      </c>
      <c r="G56" s="3182"/>
      <c r="H56" s="3171"/>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33"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6"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10338.94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8" t="s">
        <v>2778</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09" t="s">
        <v>2779</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6" t="s">
        <v>2642</v>
      </c>
      <c r="D4" s="3187"/>
      <c r="E4" s="3188" t="s">
        <v>2643</v>
      </c>
      <c r="F4" s="3189"/>
      <c r="G4" s="3186" t="s">
        <v>2644</v>
      </c>
      <c r="H4" s="3187"/>
      <c r="I4" s="3186" t="s">
        <v>2645</v>
      </c>
      <c r="J4" s="3187"/>
      <c r="K4" s="610" t="s">
        <v>2646</v>
      </c>
      <c r="L4" s="1130"/>
      <c r="M4" s="1131"/>
      <c r="N4" s="1131"/>
      <c r="O4" s="1131"/>
      <c r="P4" s="3190" t="s">
        <v>2647</v>
      </c>
      <c r="Q4" s="3191"/>
      <c r="R4" s="3196" t="s">
        <v>2643</v>
      </c>
      <c r="S4" s="3197"/>
      <c r="T4" s="3196" t="s">
        <v>2644</v>
      </c>
      <c r="U4" s="3197"/>
      <c r="V4" s="3202" t="s">
        <v>2645</v>
      </c>
      <c r="W4" s="3202"/>
      <c r="X4" s="1813"/>
      <c r="Y4" s="3196" t="s">
        <v>2647</v>
      </c>
      <c r="Z4" s="3197"/>
      <c r="AA4" s="3183" t="s">
        <v>2643</v>
      </c>
      <c r="AB4" s="3184" t="s">
        <v>2644</v>
      </c>
      <c r="AC4" s="3183" t="s">
        <v>2645</v>
      </c>
    </row>
    <row r="5" spans="1:29" ht="15">
      <c r="A5" s="404"/>
      <c r="B5" s="405"/>
      <c r="C5" s="3205" t="s">
        <v>2538</v>
      </c>
      <c r="D5" s="3206"/>
      <c r="E5" s="3212" t="s">
        <v>2539</v>
      </c>
      <c r="F5" s="3213"/>
      <c r="G5" s="3205" t="s">
        <v>2540</v>
      </c>
      <c r="H5" s="3206"/>
      <c r="I5" s="3205" t="s">
        <v>2541</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34" t="s">
        <v>2793</v>
      </c>
      <c r="D6" s="3235"/>
      <c r="E6" s="3236" t="s">
        <v>2793</v>
      </c>
      <c r="F6" s="3237"/>
      <c r="G6" s="3234" t="s">
        <v>2793</v>
      </c>
      <c r="H6" s="3235"/>
      <c r="I6" s="3234" t="s">
        <v>2793</v>
      </c>
      <c r="J6" s="3235"/>
      <c r="K6" s="610" t="s">
        <v>2543</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2544</v>
      </c>
      <c r="B7" s="409"/>
      <c r="C7" s="410">
        <f>'数据-取费表'!B2</f>
        <v>43754</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07" t="s">
        <v>2545</v>
      </c>
      <c r="Q7" s="3209"/>
      <c r="R7" s="770" t="s">
        <v>17</v>
      </c>
      <c r="S7" s="771">
        <f t="shared" ref="S7:S15" si="0">F7</f>
        <v>0</v>
      </c>
      <c r="T7" s="770" t="s">
        <v>17</v>
      </c>
      <c r="U7" s="771">
        <f t="shared" ref="U7:U15" si="1">H7</f>
        <v>0</v>
      </c>
      <c r="V7" s="770" t="s">
        <v>17</v>
      </c>
      <c r="W7" s="771">
        <f t="shared" ref="W7:W15" si="2">J7</f>
        <v>0</v>
      </c>
      <c r="X7" s="772"/>
      <c r="Y7" s="3207" t="s">
        <v>2545</v>
      </c>
      <c r="Z7" s="320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2548</v>
      </c>
      <c r="Q8" s="3208"/>
      <c r="R8" s="770" t="s">
        <v>17</v>
      </c>
      <c r="S8" s="771">
        <f t="shared" si="0"/>
        <v>0</v>
      </c>
      <c r="T8" s="770" t="s">
        <v>17</v>
      </c>
      <c r="U8" s="771">
        <f t="shared" si="1"/>
        <v>0</v>
      </c>
      <c r="V8" s="770" t="s">
        <v>17</v>
      </c>
      <c r="W8" s="771">
        <f t="shared" si="2"/>
        <v>0</v>
      </c>
      <c r="X8" s="772"/>
      <c r="Y8" s="3207" t="s">
        <v>2548</v>
      </c>
      <c r="Z8" s="3208"/>
      <c r="AA8" s="773" t="e">
        <f t="shared" ref="AA8:AA40" si="3">D8/F8</f>
        <v>#DIV/0!</v>
      </c>
      <c r="AB8" s="773" t="e">
        <f t="shared" ref="AB8:AB40" si="4">D8/H8</f>
        <v>#DIV/0!</v>
      </c>
      <c r="AC8" s="773"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71" t="s">
        <v>2551</v>
      </c>
      <c r="Q9" s="1795" t="str">
        <f t="shared" ref="Q9:Q15" si="6">B9</f>
        <v>用途</v>
      </c>
      <c r="R9" s="770" t="s">
        <v>17</v>
      </c>
      <c r="S9" s="771">
        <f t="shared" si="0"/>
        <v>100</v>
      </c>
      <c r="T9" s="770" t="s">
        <v>17</v>
      </c>
      <c r="U9" s="771">
        <f t="shared" si="1"/>
        <v>100</v>
      </c>
      <c r="V9" s="770" t="s">
        <v>17</v>
      </c>
      <c r="W9" s="771">
        <f t="shared" si="2"/>
        <v>100</v>
      </c>
      <c r="X9" s="772"/>
      <c r="Y9" s="2997"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157</v>
      </c>
      <c r="G10" s="432"/>
      <c r="H10" s="136">
        <f>ROUND(100/'数据-取费表'!G16,0)</f>
        <v>157</v>
      </c>
      <c r="I10" s="432"/>
      <c r="J10" s="136">
        <f>ROUND(100/'数据-取费表'!G16,0)</f>
        <v>157</v>
      </c>
      <c r="K10" s="672"/>
      <c r="L10" s="1135"/>
      <c r="M10" s="1136"/>
      <c r="N10" s="1136"/>
      <c r="O10" s="1137"/>
      <c r="P10" s="3171"/>
      <c r="Q10" s="1795" t="str">
        <f t="shared" si="6"/>
        <v>土地使用年限（年）</v>
      </c>
      <c r="R10" s="770" t="s">
        <v>17</v>
      </c>
      <c r="S10" s="771">
        <f t="shared" si="0"/>
        <v>157</v>
      </c>
      <c r="T10" s="770" t="s">
        <v>17</v>
      </c>
      <c r="U10" s="771">
        <f t="shared" si="1"/>
        <v>157</v>
      </c>
      <c r="V10" s="770" t="s">
        <v>17</v>
      </c>
      <c r="W10" s="771">
        <f t="shared" si="2"/>
        <v>157</v>
      </c>
      <c r="X10" s="772"/>
      <c r="Y10" s="2997"/>
      <c r="Z10" s="55" t="str">
        <f t="shared" si="7"/>
        <v>土地使用年限（年）</v>
      </c>
      <c r="AA10" s="773">
        <f t="shared" si="3"/>
        <v>0.63694267515923564</v>
      </c>
      <c r="AB10" s="773">
        <f t="shared" si="4"/>
        <v>0.63694267515923564</v>
      </c>
      <c r="AC10" s="773">
        <f t="shared" si="5"/>
        <v>0.63694267515923564</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2556</v>
      </c>
      <c r="Q15" s="1810" t="str">
        <f t="shared" si="6"/>
        <v>产业集聚程度</v>
      </c>
      <c r="R15" s="774" t="s">
        <v>17</v>
      </c>
      <c r="S15" s="775">
        <f t="shared" si="0"/>
        <v>100</v>
      </c>
      <c r="T15" s="774" t="s">
        <v>17</v>
      </c>
      <c r="U15" s="775">
        <f t="shared" si="1"/>
        <v>100</v>
      </c>
      <c r="V15" s="774" t="s">
        <v>17</v>
      </c>
      <c r="W15" s="775">
        <f t="shared" si="2"/>
        <v>100</v>
      </c>
      <c r="X15" s="1813"/>
      <c r="Y15" s="3173" t="s">
        <v>2556</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2561</v>
      </c>
      <c r="Q32" s="1810">
        <f t="shared" si="8"/>
        <v>111</v>
      </c>
      <c r="R32" s="774" t="s">
        <v>17</v>
      </c>
      <c r="S32" s="775">
        <f t="shared" si="10"/>
        <v>100</v>
      </c>
      <c r="T32" s="774" t="s">
        <v>17</v>
      </c>
      <c r="U32" s="775">
        <f t="shared" si="11"/>
        <v>100</v>
      </c>
      <c r="V32" s="774" t="s">
        <v>17</v>
      </c>
      <c r="W32" s="775">
        <f t="shared" si="12"/>
        <v>100</v>
      </c>
      <c r="X32" s="1813"/>
      <c r="Y32" s="3178" t="s">
        <v>2561</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10" t="str">
        <f>B34</f>
        <v>宗地面积</v>
      </c>
      <c r="R34" s="774" t="s">
        <v>17</v>
      </c>
      <c r="S34" s="775" t="e">
        <f t="shared" si="10"/>
        <v>#N/A</v>
      </c>
      <c r="T34" s="774" t="s">
        <v>17</v>
      </c>
      <c r="U34" s="775" t="e">
        <f t="shared" si="11"/>
        <v>#N/A</v>
      </c>
      <c r="V34" s="774" t="s">
        <v>17</v>
      </c>
      <c r="W34" s="775" t="e">
        <f t="shared" si="12"/>
        <v>#N/A</v>
      </c>
      <c r="X34" s="1813"/>
      <c r="Y34" s="3178"/>
      <c r="Z34" s="1814" t="str">
        <f t="shared" si="13"/>
        <v>宗地面积</v>
      </c>
      <c r="AA34" s="1811" t="e">
        <f t="shared" si="3"/>
        <v>#N/A</v>
      </c>
      <c r="AB34" s="1811" t="e">
        <f t="shared" si="4"/>
        <v>#N/A</v>
      </c>
      <c r="AC34" s="1811"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78" t="s">
        <v>2561</v>
      </c>
      <c r="Q37" s="1810" t="str">
        <f t="shared" si="14"/>
        <v>工程地质条件</v>
      </c>
      <c r="R37" s="774" t="s">
        <v>17</v>
      </c>
      <c r="S37" s="775">
        <f t="shared" si="10"/>
        <v>100</v>
      </c>
      <c r="T37" s="774" t="s">
        <v>17</v>
      </c>
      <c r="U37" s="775">
        <f t="shared" si="11"/>
        <v>100</v>
      </c>
      <c r="V37" s="774" t="s">
        <v>17</v>
      </c>
      <c r="W37" s="775">
        <f t="shared" si="12"/>
        <v>100</v>
      </c>
      <c r="X37" s="1813"/>
      <c r="Y37" s="3178"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2716</v>
      </c>
      <c r="B41" s="2701" t="s">
        <v>2796</v>
      </c>
      <c r="C41" s="682" t="s">
        <v>1</v>
      </c>
      <c r="D41" s="481"/>
      <c r="E41" s="482"/>
      <c r="F41" s="483"/>
      <c r="G41" s="484"/>
      <c r="H41" s="485"/>
      <c r="I41" s="482"/>
      <c r="J41" s="485"/>
      <c r="K41" s="783"/>
      <c r="L41" s="1143"/>
      <c r="M41" s="1131"/>
      <c r="N41" s="1131"/>
      <c r="O41" s="1144"/>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2" t="s">
        <v>2756</v>
      </c>
      <c r="D50" s="2703" t="s">
        <v>2757</v>
      </c>
      <c r="E50" s="686" t="s">
        <v>2758</v>
      </c>
      <c r="F50" s="687" t="s">
        <v>2759</v>
      </c>
      <c r="G50" s="3186" t="s">
        <v>2760</v>
      </c>
      <c r="H50" s="3232"/>
      <c r="I50" s="1814" t="s">
        <v>2797</v>
      </c>
      <c r="J50" s="1814" t="str">
        <f>项目基本情况!F35</f>
        <v>上海市黄浦区</v>
      </c>
      <c r="K50" s="2705" t="s">
        <v>2762</v>
      </c>
      <c r="L50" s="1106"/>
      <c r="M50" s="1144"/>
      <c r="N50" s="1144"/>
      <c r="O50" s="1144"/>
    </row>
    <row r="51" spans="1:17" s="692" customFormat="1">
      <c r="A51" s="688" t="s">
        <v>2763</v>
      </c>
      <c r="B51" s="689" t="e">
        <f>C43</f>
        <v>#DIV/0!</v>
      </c>
      <c r="C51" s="690">
        <v>1</v>
      </c>
      <c r="D51" s="1163">
        <v>1</v>
      </c>
      <c r="E51" s="690">
        <f>'数据-汇总表'!E8+'数据-汇总表'!E9</f>
        <v>10338.94</v>
      </c>
      <c r="F51" s="691" t="e">
        <f t="shared" ref="F51:F60" si="15">ROUND(B51*E51/10000,0)</f>
        <v>#DIV/0!</v>
      </c>
      <c r="G51" s="3182"/>
      <c r="H51" s="3171"/>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33"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6"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8" t="s">
        <v>2778</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3" t="s">
        <v>2798</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70"/>
      <c r="L1" s="2715" t="s">
        <v>2802</v>
      </c>
      <c r="M1" s="1080">
        <f>SUMPRODUCT((区片价!B5:B9=I2)*(区片价!C3:F3=E2)*(区片价!C5:F9))</f>
        <v>0</v>
      </c>
      <c r="N1" s="1083">
        <f>SUMPRODUCT((因素修正幅度!B5:B9=I2)*(因素修正幅度!C3:F3=E2)*(因素修正幅度!C5:F9))</f>
        <v>0</v>
      </c>
      <c r="O1" s="2716"/>
      <c r="P1" s="2716"/>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70"/>
      <c r="L2" s="2723"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18" t="s">
        <v>2815</v>
      </c>
      <c r="D3" s="2719" t="s">
        <v>2816</v>
      </c>
      <c r="E3" s="2724"/>
      <c r="F3" s="2725" t="s">
        <v>2817</v>
      </c>
      <c r="G3" s="916" t="e">
        <f>IF(F3="宗地容积率",'数据-汇总表'!I4,IF(F3="估价对象容积率",'数据-汇总表'!I6,'数据-汇总表'!I7))</f>
        <v>#DIV/0!</v>
      </c>
      <c r="H3" s="198" t="s">
        <v>2818</v>
      </c>
      <c r="I3" s="944"/>
      <c r="J3" s="2722" t="s">
        <v>2819</v>
      </c>
      <c r="K3" s="1370"/>
      <c r="L3" s="2723"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0"/>
      <c r="L4" s="2723"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2822</v>
      </c>
      <c r="C5" s="917" t="e">
        <f>ROUND(IF(E2="商业",C6*C7+C16,(IF(E2="住宅",C6*C12+C16,C6+C16))),0)</f>
        <v>#DIV/0!</v>
      </c>
      <c r="D5" s="1787" t="e">
        <f>ROUND(C6+C16,0)</f>
        <v>#DIV/0!</v>
      </c>
      <c r="E5" s="1787"/>
      <c r="F5" s="2728"/>
      <c r="G5" s="2729"/>
      <c r="H5" s="2729"/>
      <c r="I5" s="2729"/>
      <c r="J5" s="2730"/>
      <c r="K5" s="2731"/>
      <c r="L5" s="2723"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2824</v>
      </c>
      <c r="B6" s="2737" t="s">
        <v>2825</v>
      </c>
      <c r="C6" s="918">
        <f>SUMIF(L1:L12,G2,M1:M12)</f>
        <v>0</v>
      </c>
      <c r="D6" s="2738" t="s">
        <v>2826</v>
      </c>
      <c r="E6" s="2739"/>
      <c r="F6" s="2739"/>
      <c r="G6" s="2740"/>
      <c r="H6" s="2740"/>
      <c r="I6" s="2740"/>
      <c r="J6" s="2741"/>
      <c r="K6" s="1842"/>
      <c r="L6" s="2723"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45" t="str">
        <f>IF(E2="商业",IF(C8="不临58条商业街","",2),"")</f>
        <v/>
      </c>
      <c r="B7" s="2742" t="s">
        <v>2828</v>
      </c>
      <c r="C7" s="919" t="e">
        <f>IF(C8="不临58条商业街",1,ROUND(1+(1.6*E8+1.2*E9+0.8*E10+0.4*E11)*C9,4))</f>
        <v>#DIV/0!</v>
      </c>
      <c r="D7" s="2743" t="s">
        <v>2829</v>
      </c>
      <c r="E7" s="945"/>
      <c r="F7" s="2744"/>
      <c r="G7" s="2745"/>
      <c r="H7" s="2745"/>
      <c r="I7" s="2745"/>
      <c r="J7" s="2746"/>
      <c r="K7" s="1842"/>
      <c r="L7" s="2723"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46"/>
      <c r="B8" s="198" t="s">
        <v>2833</v>
      </c>
      <c r="C8" s="2747"/>
      <c r="D8" s="920" t="s">
        <v>139</v>
      </c>
      <c r="E8" s="921" t="e">
        <f>ROUND(C11/E7,4)</f>
        <v>#DIV/0!</v>
      </c>
      <c r="F8" s="2748" t="s">
        <v>2834</v>
      </c>
      <c r="G8" s="2749"/>
      <c r="H8" s="2749"/>
      <c r="I8" s="2749"/>
      <c r="J8" s="2750"/>
      <c r="K8" s="1370"/>
      <c r="L8" s="2723"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38" t="s">
        <v>2836</v>
      </c>
      <c r="X8" s="3239"/>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46"/>
      <c r="B9" s="198" t="s">
        <v>2849</v>
      </c>
      <c r="C9" s="922">
        <f>SUMIF(修正!C59:C119,C8,修正!E59:E119)</f>
        <v>0</v>
      </c>
      <c r="D9" s="200" t="s">
        <v>140</v>
      </c>
      <c r="E9" s="200" t="e">
        <f>ROUND(C11/E7,4)</f>
        <v>#DIV/0!</v>
      </c>
      <c r="F9" s="2748" t="s">
        <v>2850</v>
      </c>
      <c r="G9" s="2749"/>
      <c r="H9" s="2749"/>
      <c r="I9" s="2749"/>
      <c r="J9" s="2750"/>
      <c r="K9" s="1370"/>
      <c r="L9" s="2723"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0"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8" t="s">
        <v>2854</v>
      </c>
      <c r="C10" s="200">
        <f>SUMIF(修正!C59:C119,C8,修正!F59:F119)</f>
        <v>0</v>
      </c>
      <c r="D10" s="200" t="s">
        <v>141</v>
      </c>
      <c r="E10" s="200" t="e">
        <f>ROUND(C11/E7,4)</f>
        <v>#DIV/0!</v>
      </c>
      <c r="F10" s="2748" t="s">
        <v>2855</v>
      </c>
      <c r="G10" s="2749"/>
      <c r="H10" s="2749"/>
      <c r="I10" s="2749"/>
      <c r="J10" s="2750"/>
      <c r="K10" s="1370"/>
      <c r="L10" s="2723"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1" t="s">
        <v>2857</v>
      </c>
      <c r="C11" s="923">
        <f>C10/4</f>
        <v>0</v>
      </c>
      <c r="D11" s="923" t="s">
        <v>142</v>
      </c>
      <c r="E11" s="923" t="e">
        <f>ROUND(C11/E7,4)</f>
        <v>#DIV/0!</v>
      </c>
      <c r="F11" s="2752" t="s">
        <v>2858</v>
      </c>
      <c r="G11" s="2753"/>
      <c r="H11" s="2753"/>
      <c r="I11" s="2753"/>
      <c r="J11" s="2754"/>
      <c r="K11" s="1370"/>
      <c r="L11" s="2723"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0"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5" t="s">
        <v>2862</v>
      </c>
      <c r="B12" s="2755" t="s">
        <v>2863</v>
      </c>
      <c r="C12" s="919">
        <f>ROUND(C15*D15*E15*F15*G15*H15*I15*J15,4)</f>
        <v>1</v>
      </c>
      <c r="D12" s="2756" t="s">
        <v>2864</v>
      </c>
      <c r="E12" s="2757"/>
      <c r="F12" s="2757"/>
      <c r="G12" s="2758"/>
      <c r="H12" s="2758"/>
      <c r="I12" s="2758"/>
      <c r="J12" s="2759"/>
      <c r="K12" s="1370"/>
      <c r="L12" s="2760"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0"/>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1" t="s">
        <v>2867</v>
      </c>
      <c r="C13" s="2762" t="s">
        <v>2868</v>
      </c>
      <c r="D13" s="1808" t="s">
        <v>2869</v>
      </c>
      <c r="E13" s="1808" t="s">
        <v>2870</v>
      </c>
      <c r="F13" s="30" t="s">
        <v>2871</v>
      </c>
      <c r="G13" s="2763" t="s">
        <v>2872</v>
      </c>
      <c r="H13" s="2763" t="s">
        <v>2872</v>
      </c>
      <c r="I13" s="2763" t="s">
        <v>2872</v>
      </c>
      <c r="J13" s="2764" t="s">
        <v>2872</v>
      </c>
      <c r="K13" s="1370"/>
      <c r="L13" s="1370"/>
      <c r="M13" s="1370"/>
      <c r="N13" s="1370"/>
      <c r="O13" s="1370"/>
      <c r="P13" s="1370"/>
      <c r="Q13" s="1370"/>
      <c r="R13" s="1602">
        <v>12</v>
      </c>
      <c r="S13" s="1603"/>
      <c r="T13" s="1602" t="e">
        <f t="shared" si="0"/>
        <v>#DIV/0!</v>
      </c>
      <c r="U13" s="1603"/>
      <c r="V13" s="1602" t="e">
        <f t="shared" si="1"/>
        <v>#DIV/0!</v>
      </c>
      <c r="W13" s="324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47"/>
      <c r="B14" s="2765"/>
      <c r="C14" s="2766"/>
      <c r="D14" s="2767"/>
      <c r="E14" s="2767"/>
      <c r="F14" s="2768"/>
      <c r="G14" s="2769" t="s">
        <v>2873</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48"/>
      <c r="B15" s="2773"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5" t="s">
        <v>2879</v>
      </c>
      <c r="B16" s="2742" t="s">
        <v>2880</v>
      </c>
      <c r="C16" s="2929" t="e">
        <f>ROUND(IF(F17="与级别开发程度一致",0,(G17-E17)/C17),0)</f>
        <v>#DIV/0!</v>
      </c>
      <c r="D16" s="3259" t="s">
        <v>2884</v>
      </c>
      <c r="E16" s="3260"/>
      <c r="F16" s="3259" t="s">
        <v>2881</v>
      </c>
      <c r="G16" s="3260"/>
      <c r="H16" s="2776"/>
      <c r="I16" s="2776"/>
      <c r="J16" s="2933"/>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9"/>
      <c r="B17" s="2940" t="s">
        <v>2883</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2887</v>
      </c>
      <c r="C19" s="924" t="e">
        <f>ROUND(IF(H19="按公示增长率计算",SUMPRODUCT((地价!A3:A28=YEAR(G19)&amp;"-"&amp;ROUNDUP(MONTH(G19)/3,0))*(地价!X2:AB2=E2)*(地价!X3:AB28)),IF(H19="地价指数",M20/M19,(1+I19)^O19)),4)</f>
        <v>#VALUE!</v>
      </c>
      <c r="D19" s="2786" t="s">
        <v>2888</v>
      </c>
      <c r="E19" s="925">
        <v>41640</v>
      </c>
      <c r="F19" s="2786" t="s">
        <v>2889</v>
      </c>
      <c r="G19" s="926">
        <f>'数据-取费表'!B2</f>
        <v>43754</v>
      </c>
      <c r="H19" s="2787"/>
      <c r="I19" s="927" t="str">
        <f>IF(H19="季度增幅（自定义）",SUMIF(N21:N24,E2,O21:O24),"")</f>
        <v/>
      </c>
      <c r="J19" s="2784"/>
      <c r="K19" s="1377"/>
      <c r="L19" s="2788" t="s">
        <v>2890</v>
      </c>
      <c r="M19" s="1734">
        <f>ROUND(SUMIF(地价!B2:F2,E2,地价!B28:F28),0)</f>
        <v>0</v>
      </c>
      <c r="N19" s="2789" t="s">
        <v>2891</v>
      </c>
      <c r="O19" s="928">
        <f>ROUNDDOWN(DATEDIF(E19,G19,"M")/3,0)</f>
        <v>23</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2892</v>
      </c>
      <c r="C20" s="929" t="e">
        <f>ROUND(POWER(1+G20,J20-I20)*(POWER(1+G20,I20)-1)/(POWER(1+G20,J20)-1),4)</f>
        <v>#DIV/0!</v>
      </c>
      <c r="D20" s="2795" t="s">
        <v>2893</v>
      </c>
      <c r="E20" s="1768">
        <f ca="1">存贷款利率!D4/100</f>
        <v>4.3499999999999997E-2</v>
      </c>
      <c r="F20" s="2795" t="s">
        <v>2885</v>
      </c>
      <c r="G20" s="934">
        <f>SUMIF(M26:P26,E2,M28:P28)</f>
        <v>0</v>
      </c>
      <c r="H20" s="2795" t="s">
        <v>2894</v>
      </c>
      <c r="I20" s="935" t="e">
        <f>SUMIF('数据-取费表'!C6:C15,E2,'数据-取费表'!F6:F15)/COUNTIF('数据-取费表'!C6:C15,E2)</f>
        <v>#DIV/0!</v>
      </c>
      <c r="J20" s="936">
        <f>IF(E2="住宅",70,IF(E2="商业",40,50))</f>
        <v>50</v>
      </c>
      <c r="K20" s="1377"/>
      <c r="L20" s="2796" t="s">
        <v>2895</v>
      </c>
      <c r="M20" s="1735">
        <f>ROUND(SUMPRODUCT((地价!A4:A28=YEAR(G19)&amp;"-"&amp;ROUNDUP(MONTH(G19)/3,0))*(地价!B2:F2=E2)*(地价!B4:F28)),0)</f>
        <v>0</v>
      </c>
      <c r="N20" s="2797" t="s">
        <v>2896</v>
      </c>
      <c r="O20" s="2798" t="s">
        <v>2897</v>
      </c>
      <c r="P20" s="2799" t="s">
        <v>2898</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2899</v>
      </c>
      <c r="C21" s="937" t="e">
        <f>IF(B21="容积率修正",IF(G3&lt;=10,D22,J22),C23)</f>
        <v>#DIV/0!</v>
      </c>
      <c r="D21" s="2802"/>
      <c r="E21" s="2802"/>
      <c r="F21" s="2802"/>
      <c r="G21" s="2802"/>
      <c r="H21" s="2802"/>
      <c r="I21" s="2802"/>
      <c r="J21" s="2803"/>
      <c r="K21" s="1377"/>
      <c r="N21" s="2804" t="s">
        <v>2900</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35" customFormat="1" ht="14.25">
      <c r="A22" s="2661" t="s">
        <v>2901</v>
      </c>
      <c r="B22" s="2805"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4" t="s">
        <v>2904</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1" t="s">
        <v>2905</v>
      </c>
      <c r="B23" s="2806" t="s">
        <v>2906</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2907</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2908</v>
      </c>
      <c r="C24" s="924">
        <f>SUMIF(A45:A88,E2,B45:B88)</f>
        <v>0</v>
      </c>
      <c r="D24" s="2783"/>
      <c r="E24" s="2812"/>
      <c r="F24" s="2812"/>
      <c r="G24" s="2812"/>
      <c r="H24" s="2812"/>
      <c r="I24" s="2812"/>
      <c r="J24" s="2813"/>
      <c r="K24" s="1377"/>
      <c r="N24" s="2814" t="s">
        <v>2909</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2910</v>
      </c>
      <c r="C25" s="930"/>
      <c r="D25" s="2745"/>
      <c r="E25" s="2745"/>
      <c r="F25" s="2816"/>
      <c r="G25" s="2745"/>
      <c r="H25" s="2745"/>
      <c r="I25" s="2745"/>
      <c r="J25" s="2746"/>
      <c r="K25" s="1370"/>
      <c r="N25" s="2817" t="s">
        <v>2911</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18"/>
      <c r="B26" s="2805" t="s">
        <v>2912</v>
      </c>
      <c r="C26" s="206" t="e">
        <f>E29+SUM(E33:E39)</f>
        <v>#DIV/0!</v>
      </c>
      <c r="D26" s="2819"/>
      <c r="E26" s="2770"/>
      <c r="F26" s="2820"/>
      <c r="G26" s="2770"/>
      <c r="H26" s="2770"/>
      <c r="I26" s="2770"/>
      <c r="J26" s="2821"/>
      <c r="K26" s="1370"/>
      <c r="L26" s="2774" t="s">
        <v>2810</v>
      </c>
      <c r="M26" s="920" t="s">
        <v>2875</v>
      </c>
      <c r="N26" s="920" t="s">
        <v>2876</v>
      </c>
      <c r="O26" s="920" t="s">
        <v>2877</v>
      </c>
      <c r="P26" s="2775" t="s">
        <v>2878</v>
      </c>
      <c r="R26" s="1376"/>
      <c r="S26" s="1376"/>
      <c r="T26" s="1371"/>
      <c r="U26" s="1371"/>
      <c r="V26" s="1371"/>
      <c r="W26" s="1370"/>
      <c r="X26" s="1370"/>
      <c r="Y26" s="1370"/>
      <c r="Z26" s="1377"/>
      <c r="AA26" s="1378"/>
      <c r="AB26" s="1378"/>
      <c r="AC26" s="1378"/>
      <c r="AD26" s="1378"/>
    </row>
    <row r="27" spans="1:37" ht="15.75" thickBot="1">
      <c r="A27" s="2818"/>
      <c r="B27" s="2822" t="s">
        <v>2913</v>
      </c>
      <c r="C27" s="931" t="e">
        <f>E30+SUM(I33:I39)</f>
        <v>#DIV/0!</v>
      </c>
      <c r="D27" s="2823"/>
      <c r="E27" s="2824"/>
      <c r="F27" s="2825"/>
      <c r="G27" s="2824"/>
      <c r="H27" s="2824"/>
      <c r="I27" s="2824"/>
      <c r="J27" s="2826"/>
      <c r="K27" s="1370"/>
      <c r="L27" s="2778"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2914</v>
      </c>
      <c r="C28" s="2829" t="s">
        <v>2915</v>
      </c>
      <c r="D28" s="2829" t="s">
        <v>2916</v>
      </c>
      <c r="E28" s="2830" t="s">
        <v>2917</v>
      </c>
      <c r="F28" s="2831"/>
      <c r="G28" s="2758"/>
      <c r="H28" s="2758"/>
      <c r="I28" s="2758"/>
      <c r="J28" s="2759"/>
      <c r="K28" s="1370"/>
      <c r="L28" s="2779"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2918</v>
      </c>
      <c r="C29" s="206" t="e">
        <f>ROUND(C5*C18*C19*C20*C21*C24,0)</f>
        <v>#DIV/0!</v>
      </c>
      <c r="D29" s="2834"/>
      <c r="E29" s="942" t="e">
        <f>ROUND(C29*D29/10000,0)</f>
        <v>#DIV/0!</v>
      </c>
      <c r="F29" s="2835" t="s">
        <v>2919</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2920</v>
      </c>
      <c r="C30" s="229" t="e">
        <f>ROUND(IF(E2="工业",C29*M39,C29*M38),0)</f>
        <v>#DIV/0!</v>
      </c>
      <c r="D30" s="2840"/>
      <c r="E30" s="942" t="e">
        <f>ROUND(C30*D30/10000,0)</f>
        <v>#DIV/0!</v>
      </c>
      <c r="F30" s="2841" t="s">
        <v>2921</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2915</v>
      </c>
      <c r="D32" s="498" t="s">
        <v>2916</v>
      </c>
      <c r="E32" s="498" t="s">
        <v>2917</v>
      </c>
      <c r="F32" s="388" t="s">
        <v>2925</v>
      </c>
      <c r="G32" s="2849" t="s">
        <v>2915</v>
      </c>
      <c r="H32" s="2849" t="s">
        <v>2916</v>
      </c>
      <c r="I32" s="2849"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56" t="s">
        <v>2926</v>
      </c>
      <c r="B33" s="2850" t="s">
        <v>2927</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2" t="s">
        <v>2928</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2" t="s">
        <v>2929</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58"/>
      <c r="B36" s="2762" t="s">
        <v>2930</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2931</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2932</v>
      </c>
      <c r="M37" s="2854"/>
      <c r="N37" s="1370"/>
      <c r="O37" s="1370"/>
      <c r="P37" s="1370"/>
      <c r="Q37" s="1370"/>
      <c r="R37" s="1370"/>
      <c r="S37" s="1370"/>
      <c r="T37" s="1370"/>
      <c r="U37" s="1370"/>
      <c r="V37" s="1370"/>
      <c r="W37" s="1370"/>
      <c r="X37" s="1370"/>
      <c r="Y37" s="1370"/>
      <c r="Z37" s="1371"/>
    </row>
    <row r="38" spans="1:37">
      <c r="A38" s="2852"/>
      <c r="B38" s="2762" t="s">
        <v>2933</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7" t="s">
        <v>2934</v>
      </c>
      <c r="M38" s="2855">
        <v>0.25</v>
      </c>
      <c r="N38" s="1370"/>
      <c r="O38" s="1370"/>
      <c r="P38" s="1370"/>
      <c r="Q38" s="1370"/>
      <c r="R38" s="1370"/>
      <c r="S38" s="1370"/>
      <c r="T38" s="1370"/>
      <c r="U38" s="1370"/>
      <c r="V38" s="1370"/>
      <c r="W38" s="1370"/>
      <c r="X38" s="1370"/>
      <c r="Y38" s="1370"/>
      <c r="Z38" s="1371"/>
    </row>
    <row r="39" spans="1:37" ht="13.5" thickBot="1">
      <c r="A39" s="2838"/>
      <c r="B39" s="2856" t="s">
        <v>2935</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2878</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3046</v>
      </c>
      <c r="C41" s="388" t="e">
        <f>ROUND(POWER(1+E41,H41-G41)*(POWER(1+E41,G41)-1)/(POWER(1+E41,H41)-1),4)</f>
        <v>#DIV/0!</v>
      </c>
      <c r="D41" s="200" t="s">
        <v>2885</v>
      </c>
      <c r="E41" s="2926">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2936</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2937</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2938</v>
      </c>
      <c r="B47" s="1809" t="s">
        <v>2939</v>
      </c>
      <c r="C47" s="1809" t="s">
        <v>2940</v>
      </c>
      <c r="D47" s="1809" t="s">
        <v>2941</v>
      </c>
      <c r="E47" s="819" t="s">
        <v>2942</v>
      </c>
      <c r="F47" s="2868" t="s">
        <v>2943</v>
      </c>
      <c r="G47" s="1809" t="s">
        <v>754</v>
      </c>
      <c r="H47" s="2869"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7" t="s">
        <v>2946</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2947</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2948</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2949</v>
      </c>
      <c r="B51" s="2872" t="s">
        <v>2950</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2951</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2952</v>
      </c>
      <c r="B53" s="2873" t="s">
        <v>2953</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2954</v>
      </c>
      <c r="B54" s="1725"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2955</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2956</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2957</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2938</v>
      </c>
      <c r="B58" s="1809"/>
      <c r="C58" s="1809" t="s">
        <v>2940</v>
      </c>
      <c r="D58" s="1809" t="s">
        <v>2941</v>
      </c>
      <c r="E58" s="819" t="s">
        <v>2942</v>
      </c>
      <c r="F58" s="2868" t="s">
        <v>2958</v>
      </c>
      <c r="G58" s="1809" t="s">
        <v>754</v>
      </c>
      <c r="H58" s="2869"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7" t="s">
        <v>2959</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2947</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2948</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2949</v>
      </c>
      <c r="B62" s="2872" t="s">
        <v>2950</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2951</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2952</v>
      </c>
      <c r="B64" s="2873" t="s">
        <v>2953</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2954</v>
      </c>
      <c r="B65" s="1725"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2955</v>
      </c>
      <c r="B66" s="1725"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2956</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2960</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2938</v>
      </c>
      <c r="B69" s="1809"/>
      <c r="C69" s="1809" t="s">
        <v>2940</v>
      </c>
      <c r="D69" s="1809" t="s">
        <v>2941</v>
      </c>
      <c r="E69" s="819" t="s">
        <v>2942</v>
      </c>
      <c r="F69" s="2868" t="s">
        <v>2958</v>
      </c>
      <c r="G69" s="1809" t="s">
        <v>754</v>
      </c>
      <c r="H69" s="2869"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7" t="s">
        <v>2961</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2947</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2948</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2962</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2954</v>
      </c>
      <c r="B74" s="1725"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2955</v>
      </c>
      <c r="B75" s="1725"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2952</v>
      </c>
      <c r="B76" s="2873" t="s">
        <v>2953</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2956</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2963</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2964</v>
      </c>
      <c r="B79" s="2864">
        <f>1+E81</f>
        <v>1</v>
      </c>
      <c r="C79" s="814"/>
      <c r="D79" s="814"/>
      <c r="E79" s="815"/>
      <c r="F79" s="2866"/>
      <c r="G79" s="6"/>
      <c r="H79" s="6"/>
      <c r="I79" s="6"/>
      <c r="J79" s="7"/>
      <c r="K79" s="7"/>
      <c r="L79" s="7"/>
      <c r="M79" s="7"/>
      <c r="N79" s="7"/>
      <c r="Z79" s="2717"/>
      <c r="AA79" s="2785"/>
      <c r="AG79" s="1372"/>
      <c r="AK79" s="2785"/>
    </row>
    <row r="80" spans="1:37" ht="24.75">
      <c r="A80" s="2867" t="s">
        <v>2938</v>
      </c>
      <c r="B80" s="1809"/>
      <c r="C80" s="1809" t="s">
        <v>2940</v>
      </c>
      <c r="D80" s="1809" t="s">
        <v>2941</v>
      </c>
      <c r="E80" s="819" t="s">
        <v>2942</v>
      </c>
      <c r="F80" s="2868" t="s">
        <v>2958</v>
      </c>
      <c r="G80" s="1809" t="s">
        <v>754</v>
      </c>
      <c r="H80" s="2869" t="s">
        <v>2944</v>
      </c>
      <c r="I80" s="1809" t="s">
        <v>2945</v>
      </c>
      <c r="J80" s="603" t="s">
        <v>2593</v>
      </c>
      <c r="K80" s="603" t="s">
        <v>2594</v>
      </c>
      <c r="L80" s="603" t="s">
        <v>2595</v>
      </c>
      <c r="M80" s="603" t="s">
        <v>2596</v>
      </c>
      <c r="N80" s="603" t="s">
        <v>2597</v>
      </c>
      <c r="Z80" s="2717"/>
      <c r="AA80" s="2785"/>
      <c r="AG80" s="1372"/>
      <c r="AK80" s="2785"/>
    </row>
    <row r="81" spans="1:37" ht="38.25">
      <c r="A81" s="2867" t="s">
        <v>2965</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2947</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2948</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2962</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2954</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2955</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2952</v>
      </c>
      <c r="B87" s="2873" t="s">
        <v>2966</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2967</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50" t="s">
        <v>2968</v>
      </c>
      <c r="B90" s="3250"/>
      <c r="C90" s="3250"/>
      <c r="D90" s="3250"/>
      <c r="E90" s="3250"/>
      <c r="F90" s="3250"/>
      <c r="G90" s="3250"/>
      <c r="H90" s="3250"/>
      <c r="I90" s="3250"/>
      <c r="J90" s="3250"/>
      <c r="K90" s="2881"/>
      <c r="L90" s="2881"/>
      <c r="M90" s="2881"/>
      <c r="N90" s="2881"/>
    </row>
    <row r="91" spans="1:37">
      <c r="A91" s="3252" t="s">
        <v>2969</v>
      </c>
      <c r="B91" s="3252" t="s">
        <v>2970</v>
      </c>
      <c r="C91" s="2835" t="s">
        <v>2971</v>
      </c>
      <c r="D91" s="2836"/>
      <c r="E91" s="2836"/>
      <c r="F91" s="2836"/>
      <c r="G91" s="2836"/>
      <c r="H91" s="2836"/>
      <c r="I91" s="2836"/>
      <c r="J91" s="2882"/>
      <c r="K91" s="2883"/>
      <c r="L91" s="2883"/>
      <c r="M91" s="2883"/>
      <c r="N91" s="2883"/>
    </row>
    <row r="92" spans="1:37">
      <c r="A92" s="3252"/>
      <c r="B92" s="325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3"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4"/>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5"/>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3"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54"/>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54"/>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54"/>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54"/>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54"/>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54"/>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54"/>
      <c r="B108" s="3111"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5"/>
      <c r="B109" s="3112"/>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1" t="s">
        <v>2976</v>
      </c>
      <c r="B110" s="3251"/>
      <c r="C110" s="3251"/>
      <c r="D110" s="3251"/>
      <c r="E110" s="3251"/>
      <c r="F110" s="3251"/>
      <c r="G110" s="3251"/>
      <c r="H110" s="3251"/>
      <c r="I110" s="3251"/>
      <c r="J110" s="3251"/>
      <c r="K110" s="2890"/>
      <c r="L110" s="2890"/>
      <c r="M110" s="2890"/>
      <c r="N110" s="2890"/>
    </row>
    <row r="112" spans="1:14" ht="13.5" thickBot="1"/>
    <row r="113" spans="1:13" ht="25.5" thickBot="1">
      <c r="A113" s="903" t="s">
        <v>2977</v>
      </c>
      <c r="B113" s="1287" t="e">
        <f>G3</f>
        <v>#DIV/0!</v>
      </c>
      <c r="C113" s="904" t="s">
        <v>2978</v>
      </c>
      <c r="D113" s="905" t="e">
        <f>SUMPRODUCT((A115:A118=F113)*(B114:M114=H113)*B115:M118)</f>
        <v>#DIV/0!</v>
      </c>
      <c r="E113" s="2721" t="s">
        <v>2810</v>
      </c>
      <c r="F113" s="2892">
        <f>E2</f>
        <v>0</v>
      </c>
      <c r="G113" s="2721" t="s">
        <v>2811</v>
      </c>
      <c r="H113" s="2892">
        <f>G2</f>
        <v>0</v>
      </c>
      <c r="I113" s="2721"/>
      <c r="J113" s="2893"/>
      <c r="K113" s="2893"/>
      <c r="L113" s="2893"/>
      <c r="M113" s="2893"/>
    </row>
    <row r="114" spans="1:13">
      <c r="A114" s="908"/>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1"/>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3034</v>
      </c>
      <c r="B3" s="2916"/>
      <c r="C3" s="2916"/>
      <c r="D3" s="2917"/>
      <c r="E3" s="2917"/>
      <c r="F3" s="2916"/>
      <c r="G3" s="2918"/>
      <c r="H3" s="2919"/>
      <c r="I3" s="2920">
        <f>ROUND(AVERAGE($I4:$I28),2)</f>
        <v>1.96</v>
      </c>
      <c r="J3" s="2920">
        <f>ROUND(AVERAGE($J4:$J28),2)</f>
        <v>1.38</v>
      </c>
      <c r="K3" s="2920">
        <f>ROUND(AVERAGE($K4:$K28),2)</f>
        <v>2.14</v>
      </c>
      <c r="L3" s="2920">
        <f>ROUND(AVERAGE($L4:$L28),2)</f>
        <v>1.34</v>
      </c>
      <c r="N3" s="2918"/>
      <c r="O3" s="2921"/>
      <c r="P3" s="2921"/>
      <c r="Q3" s="2921"/>
      <c r="R3" s="2921"/>
      <c r="S3" s="2918"/>
      <c r="T3" s="2921"/>
      <c r="U3" s="2921"/>
      <c r="V3" s="2921"/>
      <c r="W3" s="2913"/>
      <c r="X3" s="2922">
        <f>ROUND(SUMPRODUCT(PRODUCT(1+N3:N$27)),4)</f>
        <v>1.5422</v>
      </c>
      <c r="Y3" s="2922">
        <f>ROUND(SUMPRODUCT(PRODUCT(1+O3:O$27)),4)</f>
        <v>1.3557999999999999</v>
      </c>
      <c r="Z3" s="2922">
        <f t="shared" ref="Z3:Z25" si="0">Y3</f>
        <v>1.3557999999999999</v>
      </c>
      <c r="AA3" s="2922">
        <f>ROUND(SUMPRODUCT(PRODUCT(1+P3:P$27)),4)</f>
        <v>1.6036999999999999</v>
      </c>
      <c r="AB3" s="2922">
        <f>ROUND(SUMPRODUCT(PRODUCT(1+Q3:Q$27)),4)</f>
        <v>1.3573</v>
      </c>
      <c r="AD3" s="2923">
        <f>ROUND(AVERAGE(I3:I$28)/100,4)</f>
        <v>1.9599999999999999E-2</v>
      </c>
      <c r="AE3" s="2923">
        <f>ROUND(AVERAGE(J3:J$28)/100,4)</f>
        <v>1.38E-2</v>
      </c>
      <c r="AF3" s="2923">
        <f t="shared" ref="AF3:AF26" si="1">AE3</f>
        <v>1.38E-2</v>
      </c>
      <c r="AG3" s="2923">
        <f>ROUND(AVERAGE(K3:K$28)/100,4)</f>
        <v>2.1399999999999999E-2</v>
      </c>
      <c r="AH3" s="2923">
        <f>ROUND(AVERAGE(L3:L$28)/100,4)</f>
        <v>1.34E-2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4</v>
      </c>
      <c r="I5" s="2911">
        <v>0</v>
      </c>
      <c r="J5" s="2911">
        <v>0</v>
      </c>
      <c r="K5" s="2911">
        <v>0</v>
      </c>
      <c r="L5" s="2911">
        <v>0</v>
      </c>
      <c r="N5" s="1467">
        <f t="shared" ref="N5:N10" si="7">I5/100</f>
        <v>0</v>
      </c>
      <c r="O5" s="1467">
        <f t="shared" ref="O5" si="8">J5/100</f>
        <v>0</v>
      </c>
      <c r="P5" s="1467">
        <f t="shared" ref="P5" si="9">K5/100</f>
        <v>0</v>
      </c>
      <c r="Q5" s="1467">
        <f t="shared" ref="Q5" si="10">L5/100</f>
        <v>0</v>
      </c>
      <c r="R5" s="1732"/>
      <c r="S5" s="1733"/>
      <c r="T5" s="1732"/>
      <c r="U5" s="1732"/>
      <c r="V5" s="1732"/>
      <c r="W5" s="2914" t="s">
        <v>3035</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3052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0">
        <v>2019</v>
      </c>
      <c r="H6" s="1462">
        <v>3</v>
      </c>
      <c r="I6" s="2948">
        <v>0</v>
      </c>
      <c r="J6" s="2948">
        <v>0</v>
      </c>
      <c r="K6" s="2948">
        <v>0</v>
      </c>
      <c r="L6" s="2949">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3050</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4">
        <v>2019</v>
      </c>
      <c r="H7" s="1462">
        <v>2</v>
      </c>
      <c r="I7" s="2948">
        <v>1.53</v>
      </c>
      <c r="J7" s="2948">
        <v>1.01</v>
      </c>
      <c r="K7" s="2948">
        <v>1.62</v>
      </c>
      <c r="L7" s="2949">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8">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3051</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6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6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6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4" t="s">
        <v>3002</v>
      </c>
      <c r="D1" s="3275"/>
      <c r="E1" s="3275"/>
      <c r="F1" s="3275"/>
      <c r="G1" s="3275"/>
      <c r="H1" s="3275"/>
      <c r="I1" s="3275"/>
      <c r="J1" s="3275"/>
      <c r="K1" s="3275"/>
      <c r="L1" s="3275"/>
      <c r="M1" s="3275"/>
      <c r="N1" s="3275"/>
      <c r="O1" s="3275"/>
      <c r="P1" s="3275"/>
      <c r="Q1" s="3275"/>
      <c r="R1" s="3275"/>
      <c r="S1" s="3276"/>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3011</v>
      </c>
      <c r="B17" s="2906"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8" t="s">
        <v>3015</v>
      </c>
      <c r="E20" s="1793"/>
      <c r="F20" s="1204" t="e">
        <f ca="1">SUMIF(INDIRECT("'"&amp;H20&amp;"'"&amp;"!A:A"),"承租人权益价值",INDIRECT("'"&amp;H20&amp;"'"&amp;"!c:c"))</f>
        <v>#REF!</v>
      </c>
      <c r="G20" s="1204" t="s">
        <v>3016</v>
      </c>
      <c r="H20" s="2909"/>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3" t="s">
        <v>33</v>
      </c>
      <c r="D22" s="3134"/>
      <c r="E22" s="3134"/>
      <c r="F22" s="3134"/>
      <c r="G22" s="3134"/>
      <c r="H22" s="3134"/>
      <c r="I22" s="3134"/>
      <c r="J22" s="3134"/>
      <c r="K22" s="3134"/>
      <c r="L22" s="3134"/>
      <c r="M22" s="3134"/>
      <c r="N22" s="3134"/>
      <c r="O22" s="3134"/>
      <c r="P22" s="3134"/>
      <c r="Q22" s="327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0"/>
      <c r="B4" s="2957" t="s">
        <v>1624</v>
      </c>
      <c r="C4" s="2957"/>
      <c r="D4" s="2957"/>
      <c r="E4" s="1960"/>
    </row>
    <row r="5" spans="1:5" ht="16.5" thickTop="1">
      <c r="A5" s="1958"/>
      <c r="B5" s="2955" t="s">
        <v>1616</v>
      </c>
      <c r="C5" s="1961" t="s">
        <v>1617</v>
      </c>
      <c r="D5" s="1040">
        <f ca="1">结果表!H101</f>
        <v>40190</v>
      </c>
      <c r="E5" s="1958"/>
    </row>
    <row r="6" spans="1:5" ht="15.75">
      <c r="A6" s="1958"/>
      <c r="B6" s="2955"/>
      <c r="C6" s="1961" t="s">
        <v>1618</v>
      </c>
      <c r="D6" s="1040" t="str">
        <f ca="1">NUMBERSTRING(INT(D5*10000),2)&amp;"元整"</f>
        <v>肆亿零壹佰玖拾万元整</v>
      </c>
      <c r="E6" s="1958"/>
    </row>
    <row r="7" spans="1:5" ht="15.75">
      <c r="A7" s="1958"/>
      <c r="B7" s="2960"/>
      <c r="C7" s="1962" t="s">
        <v>1619</v>
      </c>
      <c r="D7" s="1041">
        <f ca="1">结果表!H102</f>
        <v>38872</v>
      </c>
      <c r="E7" s="1958"/>
    </row>
    <row r="8" spans="1:5" ht="15.75">
      <c r="A8" s="1958"/>
      <c r="B8" s="2961" t="str">
        <f>结果表!E103</f>
        <v>2.估价师知悉的法定优先受偿款</v>
      </c>
      <c r="C8" s="1963" t="s">
        <v>1620</v>
      </c>
      <c r="D8" s="1041">
        <f>结果表!H103</f>
        <v>0</v>
      </c>
      <c r="E8" s="1958"/>
    </row>
    <row r="9" spans="1:5" ht="15.75">
      <c r="A9" s="1958"/>
      <c r="B9" s="296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4" t="str">
        <f>结果表!E107</f>
        <v>3.房地产抵押价值</v>
      </c>
      <c r="C13" s="1966" t="s">
        <v>1617</v>
      </c>
      <c r="D13" s="1043">
        <f ca="1">结果表!H107</f>
        <v>40190</v>
      </c>
      <c r="E13" s="1958"/>
    </row>
    <row r="14" spans="1:5" ht="15.75">
      <c r="A14" s="1958"/>
      <c r="B14" s="2955"/>
      <c r="C14" s="1961" t="s">
        <v>1618</v>
      </c>
      <c r="D14" s="1040" t="str">
        <f ca="1">NUMBERSTRING(INT(D13*10000),2)&amp;"元整"</f>
        <v>肆亿零壹佰玖拾万元整</v>
      </c>
      <c r="E14" s="1958"/>
    </row>
    <row r="15" spans="1:5" ht="15">
      <c r="A15" s="1958"/>
      <c r="B15" s="2960"/>
      <c r="C15" s="1962" t="s">
        <v>1628</v>
      </c>
      <c r="D15" s="1052">
        <f ca="1">结果表!H108</f>
        <v>38872</v>
      </c>
      <c r="E15" s="1958"/>
    </row>
    <row r="16" spans="1:5" ht="15">
      <c r="A16" s="1958"/>
      <c r="B16" s="2961" t="str">
        <f>结果表!E109</f>
        <v>——</v>
      </c>
      <c r="C16" s="1966" t="s">
        <v>1629</v>
      </c>
      <c r="D16" s="1967" t="str">
        <f>结果表!H109</f>
        <v>——</v>
      </c>
      <c r="E16" s="1958"/>
    </row>
    <row r="17" spans="1:5" ht="15.75">
      <c r="A17" s="1958"/>
      <c r="B17" s="2962"/>
      <c r="C17" s="1961" t="s">
        <v>1630</v>
      </c>
      <c r="D17" s="1040" t="e">
        <f>NUMBERSTRING(INT(D16*10000),2)&amp;"元整"</f>
        <v>#VALUE!</v>
      </c>
      <c r="E17" s="1958"/>
    </row>
    <row r="18" spans="1:5" ht="15">
      <c r="A18" s="1958"/>
      <c r="B18" s="2963"/>
      <c r="C18" s="1962" t="s">
        <v>1619</v>
      </c>
      <c r="D18" s="1052" t="str">
        <f>结果表!H110</f>
        <v>——</v>
      </c>
      <c r="E18" s="1958"/>
    </row>
    <row r="19" spans="1:5" ht="15.75">
      <c r="A19" s="1958"/>
      <c r="B19" s="2954" t="str">
        <f>结果表!E111</f>
        <v>——</v>
      </c>
      <c r="C19" s="1966" t="s">
        <v>1617</v>
      </c>
      <c r="D19" s="1041" t="str">
        <f>结果表!H111</f>
        <v>——</v>
      </c>
      <c r="E19" s="1958"/>
    </row>
    <row r="20" spans="1:5" ht="15.75">
      <c r="A20" s="1958"/>
      <c r="B20" s="2955"/>
      <c r="C20" s="1961" t="s">
        <v>1630</v>
      </c>
      <c r="D20" s="1040" t="e">
        <f>NUMBERSTRING(INT(D19*10000),2)&amp;"元整"</f>
        <v>#VALUE!</v>
      </c>
      <c r="E20" s="1958"/>
    </row>
    <row r="21" spans="1:5" ht="15.75" thickBot="1">
      <c r="A21" s="1958"/>
      <c r="B21" s="295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31052</v>
      </c>
      <c r="C2" s="2" t="s">
        <v>133</v>
      </c>
      <c r="D2" s="243"/>
      <c r="E2" s="243"/>
      <c r="F2" s="243"/>
      <c r="G2" s="243"/>
    </row>
    <row r="3" spans="1:7" s="244" customFormat="1" ht="18" customHeight="1" thickBot="1">
      <c r="A3" s="247" t="s">
        <v>85</v>
      </c>
      <c r="B3" s="248">
        <f ca="1">ROUND(B2*10000/'数据-汇总表'!E3,0)</f>
        <v>30034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10338.94</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10338.94</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2102</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27226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4313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3929</v>
      </c>
      <c r="D34" s="261"/>
      <c r="E34" s="264"/>
      <c r="F34" s="301">
        <f>IF('数据-取费表'!B24=0,1,'数据-取费表'!N16)</f>
        <v>1</v>
      </c>
      <c r="G34" s="263" t="s">
        <v>116</v>
      </c>
    </row>
    <row r="35" spans="1:7" ht="13.5" customHeight="1">
      <c r="A35" s="951" t="s">
        <v>796</v>
      </c>
      <c r="B35" s="259" t="s">
        <v>60</v>
      </c>
      <c r="C35" s="264">
        <f>ROUND(C34*F35,0)</f>
        <v>118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207</v>
      </c>
      <c r="D37" s="261">
        <f>'数据-汇总表'!E3</f>
        <v>10338.94</v>
      </c>
      <c r="E37" s="293">
        <f>'数据-取费表'!B35</f>
        <v>200</v>
      </c>
      <c r="F37" s="303"/>
      <c r="G37" s="305" t="s">
        <v>119</v>
      </c>
    </row>
    <row r="38" spans="1:7" ht="13.5" customHeight="1">
      <c r="A38" s="951" t="s">
        <v>799</v>
      </c>
      <c r="B38" s="259" t="s">
        <v>63</v>
      </c>
      <c r="C38" s="264">
        <f>ROUND(C34*F38,0)</f>
        <v>59</v>
      </c>
      <c r="D38" s="264"/>
      <c r="E38" s="264"/>
      <c r="F38" s="303">
        <f>'数据-取费表'!B36</f>
        <v>1.4999999999999999E-2</v>
      </c>
      <c r="G38" s="263" t="s">
        <v>117</v>
      </c>
    </row>
    <row r="39" spans="1:7" s="258" customFormat="1" ht="13.5" customHeight="1">
      <c r="A39" s="948" t="s">
        <v>783</v>
      </c>
      <c r="B39" s="254" t="s">
        <v>104</v>
      </c>
      <c r="C39" s="276">
        <f>ROUND(C33*F20,0)</f>
        <v>86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205</v>
      </c>
      <c r="D42" s="282"/>
      <c r="E42" s="282"/>
      <c r="F42" s="283"/>
      <c r="G42" s="3138" t="s">
        <v>121</v>
      </c>
    </row>
    <row r="43" spans="1:7" ht="13.5" customHeight="1">
      <c r="A43" s="951" t="s">
        <v>792</v>
      </c>
      <c r="B43" s="259" t="s">
        <v>1061</v>
      </c>
      <c r="C43" s="282">
        <f ca="1">ROUND(IF('数据-取费表'!B22&lt;=1,C39*F22*'数据-取费表'!B21/2,C39*(POWER((1+F22),'数据-取费表'!B21/2)-1)),0)</f>
        <v>4</v>
      </c>
      <c r="D43" s="282"/>
      <c r="E43" s="282"/>
      <c r="F43" s="283"/>
      <c r="G43" s="3139"/>
    </row>
    <row r="44" spans="1:7" ht="13.5" customHeight="1">
      <c r="A44" s="951" t="s">
        <v>793</v>
      </c>
      <c r="B44" s="259" t="s">
        <v>1063</v>
      </c>
      <c r="C44" s="282">
        <f ca="1">ROUND(IF('数据-取费表'!B22&lt;=1,C40*F22*'数据-取费表'!B21/2,C40*(POWER((1+F22),'数据-取费表'!B21/2)-1)),4)</f>
        <v>1E-3</v>
      </c>
      <c r="D44" s="282"/>
      <c r="E44" s="282"/>
      <c r="F44" s="283"/>
      <c r="G44" s="3140"/>
    </row>
    <row r="45" spans="1:7" s="258" customFormat="1" ht="13.5" customHeight="1">
      <c r="A45" s="948" t="s">
        <v>786</v>
      </c>
      <c r="B45" s="288" t="s">
        <v>112</v>
      </c>
      <c r="C45" s="289">
        <f>C46</f>
        <v>440</v>
      </c>
      <c r="D45" s="279">
        <f>C47</f>
        <v>2E-3</v>
      </c>
      <c r="E45" s="280" t="s">
        <v>129</v>
      </c>
      <c r="F45" s="290"/>
      <c r="G45" s="291" t="s">
        <v>1069</v>
      </c>
    </row>
    <row r="46" spans="1:7" s="258" customFormat="1" ht="13.5" customHeight="1">
      <c r="A46" s="951" t="s">
        <v>794</v>
      </c>
      <c r="B46" s="292" t="s">
        <v>1062</v>
      </c>
      <c r="C46" s="293">
        <f>ROUND((C33+C39)*F27,0)</f>
        <v>440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5465</v>
      </c>
      <c r="D49" s="276"/>
      <c r="E49" s="276"/>
      <c r="F49" s="308"/>
      <c r="G49" s="278" t="s">
        <v>1070</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3826</v>
      </c>
      <c r="D51" s="276"/>
      <c r="E51" s="276"/>
      <c r="F51" s="308"/>
      <c r="G51" s="278" t="s">
        <v>64</v>
      </c>
    </row>
    <row r="52" spans="1:7" s="252" customFormat="1" ht="16.5" thickBot="1">
      <c r="A52" s="309" t="s">
        <v>65</v>
      </c>
      <c r="B52" s="310"/>
      <c r="C52" s="311">
        <f ca="1">C31+C51</f>
        <v>31052</v>
      </c>
      <c r="D52" s="310"/>
      <c r="E52" s="310"/>
      <c r="F52" s="310"/>
      <c r="G52" s="312"/>
    </row>
    <row r="55" spans="1:7" ht="15">
      <c r="B55" s="314" t="s">
        <v>66</v>
      </c>
      <c r="C55" s="315"/>
    </row>
    <row r="56" spans="1:7">
      <c r="B56" s="317" t="s">
        <v>67</v>
      </c>
      <c r="C56" s="318">
        <f ca="1">ROUND(C51/C52,3)</f>
        <v>0.123</v>
      </c>
    </row>
    <row r="57" spans="1:7">
      <c r="B57" s="317" t="s">
        <v>68</v>
      </c>
      <c r="C57" s="319">
        <f ca="1">1-C56</f>
        <v>0.877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L96"/>
  <sheetViews>
    <sheetView topLeftCell="A76" workbookViewId="0">
      <selection activeCell="A97" sqref="A97"/>
    </sheetView>
  </sheetViews>
  <sheetFormatPr defaultRowHeight="13.5"/>
  <sheetData>
    <row r="1" spans="1:12">
      <c r="A1" s="3286" t="s">
        <v>3076</v>
      </c>
    </row>
    <row r="4" spans="1:12">
      <c r="L4" s="3286" t="s">
        <v>3077</v>
      </c>
    </row>
    <row r="5" spans="1:12">
      <c r="L5" s="3286" t="s">
        <v>3078</v>
      </c>
    </row>
    <row r="6" spans="1:12">
      <c r="L6" s="3286" t="s">
        <v>3079</v>
      </c>
    </row>
    <row r="7" spans="1:12">
      <c r="L7" s="3286" t="s">
        <v>3080</v>
      </c>
    </row>
    <row r="8" spans="1:12">
      <c r="L8" s="3286" t="s">
        <v>3081</v>
      </c>
    </row>
    <row r="23" spans="1:3">
      <c r="A23">
        <v>53515</v>
      </c>
      <c r="B23">
        <v>0.85</v>
      </c>
      <c r="C23">
        <f>A23*B23</f>
        <v>45487.75</v>
      </c>
    </row>
    <row r="45" spans="1:3">
      <c r="A45">
        <v>55832</v>
      </c>
      <c r="B45">
        <v>0.85</v>
      </c>
      <c r="C45">
        <f>A45*B45</f>
        <v>47457.2</v>
      </c>
    </row>
    <row r="68" spans="1:3">
      <c r="A68">
        <v>62019</v>
      </c>
      <c r="B68">
        <v>0.76670000000000005</v>
      </c>
      <c r="C68">
        <f>A68*B68</f>
        <v>47549.967300000004</v>
      </c>
    </row>
    <row r="96" spans="1:1">
      <c r="A96" s="3286" t="s">
        <v>3090</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4" t="s">
        <v>1632</v>
      </c>
      <c r="E3" s="1044" t="s">
        <v>1638</v>
      </c>
      <c r="F3" s="1044" t="s">
        <v>1632</v>
      </c>
      <c r="G3" s="1044" t="s">
        <v>1633</v>
      </c>
      <c r="H3" s="1044" t="s">
        <v>1632</v>
      </c>
      <c r="I3" s="1044" t="s">
        <v>1633</v>
      </c>
    </row>
    <row r="4" spans="1:9" ht="30">
      <c r="A4" s="1972" t="str">
        <f>项目基本情况!S2</f>
        <v>上海市黄浦区西藏南路518-528号102、202、302室商业房地产</v>
      </c>
      <c r="B4" s="1044">
        <f>项目基本情况!C17</f>
        <v>10338.94</v>
      </c>
      <c r="C4" s="1044">
        <f>项目基本情况!C18</f>
        <v>0</v>
      </c>
      <c r="D4" s="1044" t="e">
        <f ca="1">结果表!D118</f>
        <v>#REF!</v>
      </c>
      <c r="E4" s="1044" t="e">
        <f ca="1">结果表!E118</f>
        <v>#REF!</v>
      </c>
      <c r="F4" s="1044" t="e">
        <f ca="1">结果表!F118</f>
        <v>#REF!</v>
      </c>
      <c r="G4" s="1044" t="e">
        <f ca="1">结果表!G118</f>
        <v>#REF!</v>
      </c>
      <c r="H4" s="1044">
        <f ca="1">结果表!H118</f>
        <v>40190</v>
      </c>
      <c r="I4" s="1044">
        <f ca="1">结果表!I118</f>
        <v>38872</v>
      </c>
    </row>
    <row r="5" spans="1:9" ht="30" customHeight="1">
      <c r="A5" s="2968" t="s">
        <v>1634</v>
      </c>
      <c r="B5" s="2968"/>
      <c r="C5" s="2968"/>
      <c r="D5" s="2969" t="e">
        <f ca="1">结果表!D119</f>
        <v>#REF!</v>
      </c>
      <c r="E5" s="2969"/>
      <c r="F5" s="2969" t="e">
        <f ca="1">结果表!F119</f>
        <v>#REF!</v>
      </c>
      <c r="G5" s="2969"/>
      <c r="H5" s="2969" t="str">
        <f ca="1">结果表!H119</f>
        <v>肆亿零壹佰玖拾万元整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1634</v>
      </c>
      <c r="B7" s="2968"/>
      <c r="C7" s="2968"/>
      <c r="D7" s="2970" t="str">
        <f>结果表!D121</f>
        <v>零元整</v>
      </c>
      <c r="E7" s="2971"/>
      <c r="F7" s="2971"/>
      <c r="G7" s="2971"/>
      <c r="H7" s="2971"/>
      <c r="I7" s="2972"/>
    </row>
    <row r="8" spans="1:9" ht="15.75">
      <c r="A8" s="2967" t="str">
        <f>结果表!A122</f>
        <v>房地产抵押价值</v>
      </c>
      <c r="B8" s="2967"/>
      <c r="C8" s="2967"/>
      <c r="D8" s="2967">
        <f ca="1">结果表!D122</f>
        <v>40190</v>
      </c>
      <c r="E8" s="2967"/>
      <c r="F8" s="2967"/>
      <c r="G8" s="2967"/>
      <c r="H8" s="2967"/>
      <c r="I8" s="2967"/>
    </row>
    <row r="9" spans="1:9" ht="15">
      <c r="A9" s="2968" t="s">
        <v>1634</v>
      </c>
      <c r="B9" s="2968"/>
      <c r="C9" s="2968"/>
      <c r="D9" s="2969" t="str">
        <f ca="1">结果表!D123</f>
        <v>肆亿零壹佰玖拾万元整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1634</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1634</v>
      </c>
      <c r="B13" s="2964"/>
      <c r="C13" s="2964"/>
      <c r="D13" s="2965" t="e">
        <f>结果表!D127</f>
        <v>#VALUE!</v>
      </c>
      <c r="E13" s="2965"/>
      <c r="F13" s="2965"/>
      <c r="G13" s="2965"/>
      <c r="H13" s="2965"/>
      <c r="I13" s="2965"/>
    </row>
    <row r="14" spans="1:9" ht="15" thickTop="1">
      <c r="A14" s="2966" t="s">
        <v>1639</v>
      </c>
      <c r="B14" s="2966"/>
      <c r="C14" s="2966"/>
      <c r="D14" s="2966"/>
      <c r="E14" s="2966"/>
      <c r="F14" s="2966"/>
      <c r="G14" s="2966"/>
      <c r="H14" s="2966"/>
      <c r="I14" s="296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1656</v>
      </c>
      <c r="B1" s="2981"/>
      <c r="C1" s="2981"/>
      <c r="D1" s="2981"/>
    </row>
    <row r="2" spans="1:4" ht="18">
      <c r="A2" s="2982" t="s">
        <v>1640</v>
      </c>
      <c r="B2" s="2982"/>
      <c r="C2" s="2982"/>
      <c r="D2" s="2982"/>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王鹏</v>
      </c>
      <c r="B5" s="1978">
        <f ca="1">项目基本情况!E4</f>
        <v>1120050019</v>
      </c>
      <c r="C5" s="1981"/>
      <c r="D5" s="1980" t="s">
        <v>1645</v>
      </c>
    </row>
    <row r="6" spans="1:4" ht="18">
      <c r="A6" s="2982" t="s">
        <v>1646</v>
      </c>
      <c r="B6" s="2982"/>
      <c r="C6" s="2982"/>
      <c r="D6" s="2982"/>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83" t="s">
        <v>1649</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1650</v>
      </c>
      <c r="B16" s="2977"/>
      <c r="C16" s="2977"/>
      <c r="D16" s="2977"/>
    </row>
    <row r="17" spans="1:4" ht="144" customHeight="1">
      <c r="A17" s="2977" t="s">
        <v>1651</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1652</v>
      </c>
      <c r="B22" s="2979"/>
      <c r="C22" s="2979"/>
      <c r="D22" s="297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89" t="s">
        <v>1663</v>
      </c>
      <c r="B15" s="2984" t="s">
        <v>136</v>
      </c>
      <c r="C15" s="2985"/>
    </row>
    <row r="16" spans="1:7" ht="13.5">
      <c r="A16" s="2990"/>
      <c r="B16" s="2984" t="s">
        <v>69</v>
      </c>
      <c r="C16" s="2985"/>
    </row>
    <row r="17" spans="1:3" ht="13.5">
      <c r="A17" s="2990"/>
      <c r="B17" s="2987" t="s">
        <v>1664</v>
      </c>
      <c r="C17" s="1999" t="s">
        <v>1663</v>
      </c>
    </row>
    <row r="18" spans="1:3" ht="13.5">
      <c r="A18" s="2990"/>
      <c r="B18" s="2987"/>
      <c r="C18" s="1999" t="s">
        <v>1665</v>
      </c>
    </row>
    <row r="19" spans="1:3" ht="13.5">
      <c r="A19" s="2990"/>
      <c r="B19" s="2987"/>
      <c r="C19" s="1999" t="s">
        <v>1666</v>
      </c>
    </row>
    <row r="20" spans="1:3" ht="13.5">
      <c r="A20" s="2991"/>
      <c r="B20" s="2986" t="s">
        <v>1667</v>
      </c>
      <c r="C20" s="2985"/>
    </row>
    <row r="21" spans="1:3" ht="13.5">
      <c r="A21" s="2000" t="s">
        <v>1668</v>
      </c>
      <c r="B21" s="2001"/>
      <c r="C21" s="2002"/>
    </row>
    <row r="22" spans="1:3" ht="13.5">
      <c r="A22" s="2988" t="s">
        <v>1669</v>
      </c>
      <c r="B22" s="2986" t="s">
        <v>1670</v>
      </c>
      <c r="C22" s="2985"/>
    </row>
    <row r="23" spans="1:3" ht="13.5">
      <c r="A23" s="2988"/>
      <c r="B23" s="2986" t="s">
        <v>1671</v>
      </c>
      <c r="C23" s="2985"/>
    </row>
    <row r="24" spans="1:3" ht="13.5">
      <c r="A24" s="2988"/>
      <c r="B24" s="2986" t="s">
        <v>1672</v>
      </c>
      <c r="C24" s="2985"/>
    </row>
    <row r="25" spans="1:3" ht="13.5">
      <c r="A25" s="2988"/>
      <c r="B25" s="2987" t="s">
        <v>1673</v>
      </c>
      <c r="C25" s="1999" t="s">
        <v>1674</v>
      </c>
    </row>
    <row r="26" spans="1:3" ht="13.5">
      <c r="A26" s="2988"/>
      <c r="B26" s="2987"/>
      <c r="C26" s="1999" t="s">
        <v>1675</v>
      </c>
    </row>
    <row r="27" spans="1:3" ht="13.5">
      <c r="A27" s="2988"/>
      <c r="B27" s="2987"/>
      <c r="C27" s="1999" t="s">
        <v>1676</v>
      </c>
    </row>
    <row r="28" spans="1:3" ht="13.5">
      <c r="A28" s="2988"/>
      <c r="B28" s="2987"/>
      <c r="C28" s="1999" t="s">
        <v>1677</v>
      </c>
    </row>
    <row r="29" spans="1:3" ht="13.5">
      <c r="A29" s="2988"/>
      <c r="B29" s="2987"/>
      <c r="C29" s="1999" t="s">
        <v>1678</v>
      </c>
    </row>
    <row r="30" spans="1:3" ht="13.5">
      <c r="A30" s="2988"/>
      <c r="B30" s="2987"/>
      <c r="C30" s="1999" t="s">
        <v>1679</v>
      </c>
    </row>
    <row r="31" spans="1:3" ht="13.5">
      <c r="A31" s="2988"/>
      <c r="B31" s="2987"/>
      <c r="C31" s="1999" t="s">
        <v>1680</v>
      </c>
    </row>
    <row r="32" spans="1:3" ht="13.5">
      <c r="A32" s="2988"/>
      <c r="B32" s="2987"/>
      <c r="C32" s="1999" t="s">
        <v>1681</v>
      </c>
    </row>
    <row r="33" spans="1:3" ht="13.5">
      <c r="A33" s="2988"/>
      <c r="B33" s="298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43755</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f ca="1">IF(C10&lt;B2,"已过期",1120060040)</f>
        <v>1120060040</v>
      </c>
      <c r="C10" s="2342">
        <v>44554</v>
      </c>
      <c r="D10" s="2345" t="s">
        <v>838</v>
      </c>
      <c r="E10" s="1022">
        <f ca="1">IF(F10&lt;B2,"已过期",2004110096)</f>
        <v>2004110096</v>
      </c>
      <c r="F10" s="1030">
        <v>47118</v>
      </c>
    </row>
    <row r="11" spans="1:6" ht="24" customHeight="1">
      <c r="A11" s="1702" t="s">
        <v>839</v>
      </c>
      <c r="B11" s="1022">
        <f ca="1">IF(C11&lt;B2,"已过期",1120100036)</f>
        <v>1120100036</v>
      </c>
      <c r="C11" s="2342">
        <v>44675</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3042</v>
      </c>
      <c r="B14" s="1022">
        <f ca="1">IF(C14&lt;B2,"已过期",1120040230)</f>
        <v>1120040230</v>
      </c>
      <c r="C14" s="2342">
        <v>43835</v>
      </c>
      <c r="D14" s="2345" t="s">
        <v>3042</v>
      </c>
      <c r="E14" s="1022">
        <f ca="1">IF(F14&lt;B2,"已过期",98030020)</f>
        <v>98030020</v>
      </c>
      <c r="F14" s="1030">
        <v>47118</v>
      </c>
    </row>
    <row r="15" spans="1:6" ht="24" customHeight="1">
      <c r="A15" s="1703" t="s">
        <v>3043</v>
      </c>
      <c r="B15" s="1022">
        <f ca="1">IF(C15&lt;B2,"已过期",1120070085)</f>
        <v>1120070085</v>
      </c>
      <c r="C15" s="2342">
        <v>43814</v>
      </c>
      <c r="D15" s="2346" t="s">
        <v>3043</v>
      </c>
      <c r="E15" s="1022">
        <f ca="1">IF(F15&lt;B2,"已过期",2004110128)</f>
        <v>2004110128</v>
      </c>
      <c r="F15" s="1023">
        <v>47118</v>
      </c>
    </row>
    <row r="16" spans="1:6" ht="24" customHeight="1">
      <c r="A16" s="1702" t="s">
        <v>3044</v>
      </c>
      <c r="B16" s="1022">
        <f ca="1">IF(C16&lt;B2,"已过期",1120140022)</f>
        <v>1120140022</v>
      </c>
      <c r="C16" s="2925">
        <v>44029</v>
      </c>
      <c r="D16" s="2345" t="s">
        <v>3044</v>
      </c>
      <c r="E16" s="1022">
        <f ca="1">IF(F16&lt;B2,"已过期",2008110059)</f>
        <v>2008110059</v>
      </c>
      <c r="F16" s="1030">
        <v>47177</v>
      </c>
    </row>
    <row r="17" spans="1:7" ht="24" customHeight="1">
      <c r="A17" s="1702"/>
      <c r="B17" s="1022"/>
      <c r="C17" s="2342"/>
      <c r="D17" s="2345" t="s">
        <v>3045</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2992" t="s">
        <v>843</v>
      </c>
      <c r="B25" s="2992"/>
      <c r="C25" s="2992"/>
      <c r="D25" s="2992"/>
      <c r="E25" s="2992"/>
      <c r="F25" s="2992"/>
      <c r="G25" s="2992"/>
    </row>
    <row r="26" spans="1:7" s="1025" customFormat="1" ht="24" customHeight="1">
      <c r="A26" s="2993" t="s">
        <v>844</v>
      </c>
      <c r="B26" s="2993"/>
      <c r="C26" s="2994"/>
      <c r="D26" s="2995" t="s">
        <v>845</v>
      </c>
      <c r="E26" s="2993"/>
      <c r="F26" s="2993"/>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2017-03-01T09:15:43Z</cp:lastPrinted>
  <dcterms:created xsi:type="dcterms:W3CDTF">2015-07-13T07:17:23Z</dcterms:created>
  <dcterms:modified xsi:type="dcterms:W3CDTF">2019-10-17T03:19:42Z</dcterms:modified>
</cp:coreProperties>
</file>