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00" yWindow="15" windowWidth="9585" windowHeight="736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不动产收益法 (商业)" sheetId="69"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5" i="66" l="1"/>
  <c r="C106" i="9" l="1"/>
  <c r="K117" i="9"/>
  <c r="K118" i="9"/>
  <c r="I15" i="66" l="1"/>
  <c r="C15" i="66"/>
  <c r="B15" i="66"/>
  <c r="D15" i="66" l="1"/>
  <c r="G15" i="66" l="1"/>
  <c r="I48" i="39" l="1"/>
  <c r="I40" i="39"/>
  <c r="I9" i="39"/>
  <c r="I7" i="39"/>
  <c r="G48" i="39"/>
  <c r="G40" i="39"/>
  <c r="G9" i="39"/>
  <c r="G7" i="39"/>
  <c r="E48" i="39"/>
  <c r="E40" i="39"/>
  <c r="E9" i="39"/>
  <c r="E7" i="39"/>
  <c r="N12" i="68"/>
  <c r="N13" i="68"/>
  <c r="N14" i="68"/>
  <c r="N15" i="68"/>
  <c r="N16" i="68"/>
  <c r="N17" i="68"/>
  <c r="N18" i="68"/>
  <c r="N19" i="68"/>
  <c r="N20" i="68"/>
  <c r="N21" i="68"/>
  <c r="N22" i="68"/>
  <c r="N23" i="68"/>
  <c r="N24" i="68"/>
  <c r="N25" i="68"/>
  <c r="N11" i="68"/>
  <c r="H7" i="68"/>
  <c r="H6" i="68"/>
  <c r="H5" i="68"/>
  <c r="E7" i="68"/>
  <c r="E6" i="68"/>
  <c r="E5" i="68"/>
  <c r="Q73" i="69"/>
  <c r="Q60" i="69"/>
  <c r="D60" i="69"/>
  <c r="Q59" i="69"/>
  <c r="K59" i="69"/>
  <c r="P62" i="69" s="1"/>
  <c r="F58" i="69"/>
  <c r="Q52" i="69"/>
  <c r="J50" i="69"/>
  <c r="M47" i="69"/>
  <c r="L46" i="69" s="1"/>
  <c r="F33" i="69"/>
  <c r="F60" i="69" s="1"/>
  <c r="F31" i="69"/>
  <c r="F23" i="69"/>
  <c r="D24" i="69" s="1"/>
  <c r="F21" i="69"/>
  <c r="F20" i="69"/>
  <c r="M19" i="69"/>
  <c r="F18" i="69"/>
  <c r="M17" i="69"/>
  <c r="F17" i="69"/>
  <c r="F15" i="69"/>
  <c r="N14" i="1"/>
  <c r="N9" i="1"/>
  <c r="N7" i="1"/>
  <c r="N8" i="1"/>
  <c r="P75" i="69" l="1"/>
  <c r="D22" i="69"/>
  <c r="D23" i="69"/>
  <c r="F22" i="6" l="1"/>
  <c r="E9" i="6" s="1"/>
  <c r="I13" i="3"/>
  <c r="C11" i="4"/>
  <c r="B6" i="4"/>
  <c r="H4" i="68" l="1"/>
  <c r="E4" i="68"/>
  <c r="H3" i="68"/>
  <c r="E3" i="68"/>
  <c r="J7" i="1" l="1"/>
  <c r="H7" i="1"/>
  <c r="D3" i="4" l="1"/>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X6" i="59" s="1"/>
  <c r="AH8" i="59"/>
  <c r="AG8" i="59"/>
  <c r="AE8" i="59"/>
  <c r="AF8" i="59"/>
  <c r="AD8" i="59"/>
  <c r="Q9" i="59"/>
  <c r="P9" i="59"/>
  <c r="O9" i="59"/>
  <c r="Y9" i="59" s="1"/>
  <c r="Z9" i="59" s="1"/>
  <c r="N9" i="59"/>
  <c r="M19" i="46"/>
  <c r="J50" i="15"/>
  <c r="J51" i="15" s="1"/>
  <c r="D11" i="59"/>
  <c r="AH9" i="59"/>
  <c r="AG9" i="59"/>
  <c r="AE9" i="59"/>
  <c r="AF9" i="59" s="1"/>
  <c r="AD9" i="59"/>
  <c r="AE10" i="59"/>
  <c r="AF10" i="59" s="1"/>
  <c r="AG10" i="59"/>
  <c r="AH10" i="59"/>
  <c r="AD10" i="59"/>
  <c r="Q10" i="59"/>
  <c r="P10" i="59"/>
  <c r="O10" i="59"/>
  <c r="N10" i="59"/>
  <c r="N11" i="59"/>
  <c r="Q11" i="59"/>
  <c r="P11" i="59"/>
  <c r="O11" i="59"/>
  <c r="K59" i="15"/>
  <c r="P62" i="15" s="1"/>
  <c r="Q74" i="44"/>
  <c r="Q61" i="44"/>
  <c r="Q60" i="44"/>
  <c r="Q53" i="44"/>
  <c r="J51" i="44"/>
  <c r="J52" i="44"/>
  <c r="M48" i="44"/>
  <c r="A16" i="55"/>
  <c r="A15" i="55"/>
  <c r="B66" i="63" s="1"/>
  <c r="A10" i="55"/>
  <c r="B61" i="63" s="1"/>
  <c r="A9" i="55"/>
  <c r="B60" i="63" s="1"/>
  <c r="A8" i="55"/>
  <c r="A6" i="54"/>
  <c r="B49" i="63" s="1"/>
  <c r="A8" i="54"/>
  <c r="A7" i="54"/>
  <c r="A28" i="51"/>
  <c r="N4" i="63" s="1"/>
  <c r="A27" i="51"/>
  <c r="B20" i="63" s="1"/>
  <c r="Q12" i="59"/>
  <c r="O12" i="59"/>
  <c r="N13" i="59"/>
  <c r="O13" i="59"/>
  <c r="P13" i="59"/>
  <c r="Q13" i="59"/>
  <c r="N12" i="59"/>
  <c r="P12" i="59"/>
  <c r="K75" i="9"/>
  <c r="K6" i="4"/>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U10" i="59"/>
  <c r="AD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AB16" i="59"/>
  <c r="Y23" i="59"/>
  <c r="Z23" i="59" s="1"/>
  <c r="AB24" i="59"/>
  <c r="S2" i="31"/>
  <c r="M2" i="31"/>
  <c r="N2" i="31"/>
  <c r="O2" i="31"/>
  <c r="P2" i="31"/>
  <c r="Q2" i="31"/>
  <c r="R2" i="31"/>
  <c r="C10" i="59"/>
  <c r="C3" i="65"/>
  <c r="C1" i="65"/>
  <c r="N1" i="65" s="1"/>
  <c r="B76" i="63"/>
  <c r="M5" i="54"/>
  <c r="A23" i="51"/>
  <c r="Y12" i="46"/>
  <c r="AA9" i="46"/>
  <c r="AB9" i="46"/>
  <c r="AB10" i="46" s="1"/>
  <c r="AC9" i="46"/>
  <c r="AD9" i="46"/>
  <c r="AD10" i="46" s="1"/>
  <c r="AE9" i="46"/>
  <c r="AE10" i="46" s="1"/>
  <c r="AF9" i="46"/>
  <c r="AF10" i="46" s="1"/>
  <c r="AG9" i="46"/>
  <c r="AH9" i="46"/>
  <c r="AH10" i="46" s="1"/>
  <c r="AI9" i="46"/>
  <c r="AJ9" i="46"/>
  <c r="AJ10" i="46" s="1"/>
  <c r="Z9" i="46"/>
  <c r="Z10" i="46"/>
  <c r="AI10" i="46"/>
  <c r="AG10" i="46"/>
  <c r="AC10" i="46"/>
  <c r="AA10" i="46"/>
  <c r="Y10" i="46"/>
  <c r="Z12" i="46"/>
  <c r="AI12" i="46"/>
  <c r="AG12" i="46"/>
  <c r="AE12" i="46"/>
  <c r="AC12" i="46"/>
  <c r="AA12" i="46"/>
  <c r="B75" i="63"/>
  <c r="B73" i="63"/>
  <c r="A21" i="64"/>
  <c r="A28" i="64"/>
  <c r="A27" i="64"/>
  <c r="A15" i="64"/>
  <c r="A14" i="64"/>
  <c r="A11" i="64"/>
  <c r="A3" i="64"/>
  <c r="A45" i="9"/>
  <c r="K40" i="9" s="1"/>
  <c r="A44" i="9"/>
  <c r="C57" i="10"/>
  <c r="C56" i="10"/>
  <c r="C55" i="10"/>
  <c r="C54" i="10"/>
  <c r="B44" i="63"/>
  <c r="B40" i="63"/>
  <c r="B30" i="63"/>
  <c r="B27" i="63"/>
  <c r="B25" i="63"/>
  <c r="A11" i="51"/>
  <c r="B10" i="63" s="1"/>
  <c r="A26" i="64"/>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c r="E5" i="54"/>
  <c r="B32" i="63"/>
  <c r="R2" i="54"/>
  <c r="B24" i="63"/>
  <c r="B49" i="50"/>
  <c r="B5" i="63" s="1"/>
  <c r="B40" i="50"/>
  <c r="B3" i="63" s="1"/>
  <c r="B21" i="63"/>
  <c r="B67" i="63"/>
  <c r="I19" i="46"/>
  <c r="Q14" i="59"/>
  <c r="P14" i="59"/>
  <c r="E14" i="59" s="1"/>
  <c r="O14" i="59"/>
  <c r="Y10" i="59" s="1"/>
  <c r="Z10" i="59" s="1"/>
  <c r="N14" i="59"/>
  <c r="B14" i="59" s="1"/>
  <c r="S14" i="59" s="1"/>
  <c r="D75" i="59"/>
  <c r="F74" i="59"/>
  <c r="E74" i="59"/>
  <c r="E73" i="59" s="1"/>
  <c r="E72" i="59"/>
  <c r="C74" i="59"/>
  <c r="D74" i="59"/>
  <c r="B74" i="59"/>
  <c r="F73" i="59"/>
  <c r="F72" i="59" s="1"/>
  <c r="B73" i="59"/>
  <c r="B72" i="59" s="1"/>
  <c r="D71" i="59"/>
  <c r="F70" i="59"/>
  <c r="E70" i="59"/>
  <c r="E69" i="59" s="1"/>
  <c r="E68" i="59" s="1"/>
  <c r="C70" i="59"/>
  <c r="B70" i="59"/>
  <c r="F69" i="59"/>
  <c r="F68" i="59"/>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E62" i="59"/>
  <c r="U62" i="59"/>
  <c r="C62" i="59"/>
  <c r="T62" i="59" s="1"/>
  <c r="B62" i="59"/>
  <c r="Q61" i="59"/>
  <c r="P61" i="59"/>
  <c r="O61" i="59"/>
  <c r="N61" i="59"/>
  <c r="Q60" i="59"/>
  <c r="P60" i="59"/>
  <c r="O60" i="59"/>
  <c r="N60" i="59"/>
  <c r="Q59" i="59"/>
  <c r="P59" i="59"/>
  <c r="O59" i="59"/>
  <c r="N59" i="59"/>
  <c r="D59" i="59"/>
  <c r="Q58" i="59"/>
  <c r="P58" i="59"/>
  <c r="O58" i="59"/>
  <c r="N58" i="59"/>
  <c r="F58" i="59"/>
  <c r="V58" i="59"/>
  <c r="E58" i="59"/>
  <c r="C58" i="59"/>
  <c r="T58" i="59"/>
  <c r="B58" i="59"/>
  <c r="S58" i="59" s="1"/>
  <c r="Q57" i="59"/>
  <c r="P57" i="59"/>
  <c r="O57" i="59"/>
  <c r="N57" i="59"/>
  <c r="F57" i="59"/>
  <c r="F56" i="59"/>
  <c r="B57" i="59"/>
  <c r="B56" i="59" s="1"/>
  <c r="Q56" i="59"/>
  <c r="P56" i="59"/>
  <c r="O56" i="59"/>
  <c r="N56" i="59"/>
  <c r="Q55" i="59"/>
  <c r="P55" i="59"/>
  <c r="O55" i="59"/>
  <c r="N55" i="59"/>
  <c r="D55" i="59"/>
  <c r="F54" i="59"/>
  <c r="V54" i="59"/>
  <c r="E54" i="59"/>
  <c r="E53" i="59" s="1"/>
  <c r="P53" i="59"/>
  <c r="C54" i="59"/>
  <c r="B54" i="59"/>
  <c r="F53" i="59"/>
  <c r="F52" i="59"/>
  <c r="Q52" i="59" s="1"/>
  <c r="Q51" i="59"/>
  <c r="D51" i="59"/>
  <c r="Q50" i="59"/>
  <c r="P50" i="59"/>
  <c r="O50" i="59"/>
  <c r="N50" i="59"/>
  <c r="Q49" i="59"/>
  <c r="P49" i="59"/>
  <c r="O49" i="59"/>
  <c r="N49" i="59"/>
  <c r="Q48" i="59"/>
  <c r="P48" i="59"/>
  <c r="O48" i="59"/>
  <c r="N48" i="59"/>
  <c r="Q47" i="59"/>
  <c r="F48" i="59" s="1"/>
  <c r="P47" i="59"/>
  <c r="E48" i="59"/>
  <c r="E49" i="59" s="1"/>
  <c r="E50" i="59" s="1"/>
  <c r="U50" i="59" s="1"/>
  <c r="O47" i="59"/>
  <c r="C48" i="59"/>
  <c r="N47" i="59"/>
  <c r="B48" i="59"/>
  <c r="B49" i="59" s="1"/>
  <c r="B50" i="59"/>
  <c r="S50" i="59" s="1"/>
  <c r="D47" i="59"/>
  <c r="Q46" i="59"/>
  <c r="P46" i="59"/>
  <c r="O46" i="59"/>
  <c r="N46" i="59"/>
  <c r="Q45" i="59"/>
  <c r="P45" i="59"/>
  <c r="O45" i="59"/>
  <c r="N45" i="59"/>
  <c r="Q44" i="59"/>
  <c r="P44" i="59"/>
  <c r="O44" i="59"/>
  <c r="N44" i="59"/>
  <c r="Q43" i="59"/>
  <c r="F44" i="59" s="1"/>
  <c r="F45" i="59" s="1"/>
  <c r="P43" i="59"/>
  <c r="E44" i="59"/>
  <c r="E45" i="59"/>
  <c r="E46" i="59" s="1"/>
  <c r="U46" i="59" s="1"/>
  <c r="O43" i="59"/>
  <c r="C44" i="59" s="1"/>
  <c r="N43" i="59"/>
  <c r="B44" i="59" s="1"/>
  <c r="B45" i="59" s="1"/>
  <c r="B46" i="59"/>
  <c r="S46" i="59" s="1"/>
  <c r="D43" i="59"/>
  <c r="Q42" i="59"/>
  <c r="P42" i="59"/>
  <c r="O42" i="59"/>
  <c r="N42" i="59"/>
  <c r="Q41" i="59"/>
  <c r="P41" i="59"/>
  <c r="O41" i="59"/>
  <c r="N41" i="59"/>
  <c r="Q40" i="59"/>
  <c r="P40" i="59"/>
  <c r="E41" i="59" s="1"/>
  <c r="E42" i="59" s="1"/>
  <c r="O40" i="59"/>
  <c r="N40" i="59"/>
  <c r="Q39" i="59"/>
  <c r="F40" i="59"/>
  <c r="F41" i="59" s="1"/>
  <c r="F42" i="59" s="1"/>
  <c r="V42" i="59" s="1"/>
  <c r="P39" i="59"/>
  <c r="E40" i="59" s="1"/>
  <c r="U42" i="59"/>
  <c r="O39" i="59"/>
  <c r="C40" i="59"/>
  <c r="D40" i="59" s="1"/>
  <c r="N39" i="59"/>
  <c r="B40" i="59"/>
  <c r="B41" i="59" s="1"/>
  <c r="B42" i="59" s="1"/>
  <c r="S42" i="59" s="1"/>
  <c r="D39" i="59"/>
  <c r="Q38" i="59"/>
  <c r="P38" i="59"/>
  <c r="O38" i="59"/>
  <c r="N38" i="59"/>
  <c r="Q37" i="59"/>
  <c r="P37" i="59"/>
  <c r="O37" i="59"/>
  <c r="N37" i="59"/>
  <c r="Q36" i="59"/>
  <c r="P36" i="59"/>
  <c r="O36" i="59"/>
  <c r="N36" i="59"/>
  <c r="Q35" i="59"/>
  <c r="F36" i="59"/>
  <c r="F37" i="59"/>
  <c r="F38" i="59" s="1"/>
  <c r="V38" i="59" s="1"/>
  <c r="P35" i="59"/>
  <c r="E36" i="59" s="1"/>
  <c r="E37" i="59" s="1"/>
  <c r="E38" i="59" s="1"/>
  <c r="U38" i="59" s="1"/>
  <c r="O35" i="59"/>
  <c r="C36" i="59" s="1"/>
  <c r="D36" i="59" s="1"/>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F29" i="59" s="1"/>
  <c r="F30" i="59" s="1"/>
  <c r="V30" i="59" s="1"/>
  <c r="P27" i="59"/>
  <c r="E28" i="59" s="1"/>
  <c r="E29" i="59"/>
  <c r="E30" i="59" s="1"/>
  <c r="U30" i="59" s="1"/>
  <c r="O27" i="59"/>
  <c r="C28" i="59"/>
  <c r="N27" i="59"/>
  <c r="B28" i="59"/>
  <c r="B29" i="59" s="1"/>
  <c r="B30" i="59" s="1"/>
  <c r="S30" i="59"/>
  <c r="D27" i="59"/>
  <c r="Q26" i="59"/>
  <c r="P26" i="59"/>
  <c r="O26" i="59"/>
  <c r="N26" i="59"/>
  <c r="Q25" i="59"/>
  <c r="AB25" i="59"/>
  <c r="P25" i="59"/>
  <c r="O25" i="59"/>
  <c r="Y25" i="59" s="1"/>
  <c r="Z25" i="59"/>
  <c r="N25" i="59"/>
  <c r="X25" i="59"/>
  <c r="Q24" i="59"/>
  <c r="P24" i="59"/>
  <c r="O24" i="59"/>
  <c r="Y24" i="59" s="1"/>
  <c r="Z24" i="59" s="1"/>
  <c r="N24" i="59"/>
  <c r="X24" i="59" s="1"/>
  <c r="Q23" i="59"/>
  <c r="AB23" i="59" s="1"/>
  <c r="F24" i="59"/>
  <c r="F25" i="59" s="1"/>
  <c r="F26" i="59" s="1"/>
  <c r="P23" i="59"/>
  <c r="E24" i="59"/>
  <c r="E25" i="59" s="1"/>
  <c r="E26" i="59" s="1"/>
  <c r="U26" i="59" s="1"/>
  <c r="O23" i="59"/>
  <c r="C24" i="59" s="1"/>
  <c r="C25" i="59" s="1"/>
  <c r="N23" i="59"/>
  <c r="D23" i="59"/>
  <c r="Q22" i="59"/>
  <c r="AB22" i="59" s="1"/>
  <c r="P22" i="59"/>
  <c r="O22" i="59"/>
  <c r="Y22" i="59" s="1"/>
  <c r="Z22" i="59" s="1"/>
  <c r="N22" i="59"/>
  <c r="Q21" i="59"/>
  <c r="AB21" i="59" s="1"/>
  <c r="P21" i="59"/>
  <c r="O21" i="59"/>
  <c r="Y21" i="59" s="1"/>
  <c r="Z21" i="59" s="1"/>
  <c r="N21" i="59"/>
  <c r="Q20" i="59"/>
  <c r="AB20" i="59" s="1"/>
  <c r="P20" i="59"/>
  <c r="O20" i="59"/>
  <c r="Y20" i="59" s="1"/>
  <c r="Z20" i="59" s="1"/>
  <c r="N20" i="59"/>
  <c r="B21" i="59" s="1"/>
  <c r="B22" i="59" s="1"/>
  <c r="S22" i="59" s="1"/>
  <c r="Q19" i="59"/>
  <c r="P19" i="59"/>
  <c r="AA19" i="59" s="1"/>
  <c r="O19" i="59"/>
  <c r="Y17" i="59" s="1"/>
  <c r="Z17" i="59" s="1"/>
  <c r="N19" i="59"/>
  <c r="X19" i="59" s="1"/>
  <c r="B20" i="59"/>
  <c r="D19" i="59"/>
  <c r="Q18" i="59"/>
  <c r="AB18" i="59" s="1"/>
  <c r="P18" i="59"/>
  <c r="O18" i="59"/>
  <c r="N18" i="59"/>
  <c r="Q17" i="59"/>
  <c r="AB17" i="59" s="1"/>
  <c r="P17" i="59"/>
  <c r="AA17" i="59" s="1"/>
  <c r="O17" i="59"/>
  <c r="N17" i="59"/>
  <c r="Q16" i="59"/>
  <c r="P16" i="59"/>
  <c r="AA14" i="59" s="1"/>
  <c r="O16" i="59"/>
  <c r="N16" i="59"/>
  <c r="Q15" i="59"/>
  <c r="AB15" i="59" s="1"/>
  <c r="F16" i="59"/>
  <c r="P15" i="59"/>
  <c r="O15" i="59"/>
  <c r="Y15" i="59" s="1"/>
  <c r="Z15" i="59" s="1"/>
  <c r="N15" i="59"/>
  <c r="D15" i="59"/>
  <c r="X3" i="59"/>
  <c r="Y14" i="59"/>
  <c r="Z14" i="59" s="1"/>
  <c r="AB14" i="59"/>
  <c r="AB3" i="59"/>
  <c r="AB11" i="59"/>
  <c r="AB13" i="59"/>
  <c r="E16" i="59"/>
  <c r="E17" i="59" s="1"/>
  <c r="E18" i="59" s="1"/>
  <c r="U18" i="59" s="1"/>
  <c r="F17" i="59"/>
  <c r="F18" i="59" s="1"/>
  <c r="V18" i="59" s="1"/>
  <c r="V26" i="59"/>
  <c r="F46" i="59"/>
  <c r="V46" i="59" s="1"/>
  <c r="F49" i="59"/>
  <c r="F50" i="59" s="1"/>
  <c r="V50" i="59" s="1"/>
  <c r="D24" i="59"/>
  <c r="C41" i="59"/>
  <c r="E52" i="59"/>
  <c r="P51" i="59" s="1"/>
  <c r="Q53" i="59"/>
  <c r="T54" i="59"/>
  <c r="O54" i="59"/>
  <c r="D54" i="59"/>
  <c r="C53" i="59"/>
  <c r="P54" i="59"/>
  <c r="U54" i="59"/>
  <c r="Q54" i="59"/>
  <c r="C57" i="59"/>
  <c r="D58" i="59"/>
  <c r="C61" i="59"/>
  <c r="E61" i="59"/>
  <c r="E60" i="59" s="1"/>
  <c r="D62" i="59"/>
  <c r="C65" i="59"/>
  <c r="E65" i="59"/>
  <c r="E64" i="59" s="1"/>
  <c r="D66" i="59"/>
  <c r="C73" i="59"/>
  <c r="D73" i="59" s="1"/>
  <c r="U16" i="4"/>
  <c r="S16" i="4"/>
  <c r="Q16" i="4"/>
  <c r="O16" i="4"/>
  <c r="N16" i="4" s="1"/>
  <c r="M16" i="4"/>
  <c r="K16" i="4"/>
  <c r="P52" i="59"/>
  <c r="C72" i="59"/>
  <c r="D72" i="59" s="1"/>
  <c r="D65" i="59"/>
  <c r="C64" i="59"/>
  <c r="D64" i="59"/>
  <c r="D57" i="59"/>
  <c r="C56" i="59"/>
  <c r="D56" i="59" s="1"/>
  <c r="C52" i="59"/>
  <c r="O53" i="59"/>
  <c r="D53" i="59"/>
  <c r="D61" i="59"/>
  <c r="C60" i="59"/>
  <c r="D60" i="59"/>
  <c r="C26" i="59"/>
  <c r="D26" i="59" s="1"/>
  <c r="D25" i="59"/>
  <c r="T26" i="59"/>
  <c r="O52" i="59"/>
  <c r="O27" i="6"/>
  <c r="N27" i="6"/>
  <c r="P26" i="6"/>
  <c r="L26" i="6"/>
  <c r="P25" i="6"/>
  <c r="L25" i="6"/>
  <c r="P24" i="6"/>
  <c r="L24" i="6"/>
  <c r="P23" i="6"/>
  <c r="L23" i="6"/>
  <c r="P22" i="6"/>
  <c r="L22" i="6"/>
  <c r="P21" i="6"/>
  <c r="L21" i="6"/>
  <c r="P20" i="6"/>
  <c r="P19" i="6"/>
  <c r="P27" i="6" s="1"/>
  <c r="Z18" i="36"/>
  <c r="Q18" i="36"/>
  <c r="C18" i="36"/>
  <c r="D66" i="36"/>
  <c r="F18" i="36"/>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c r="Q21" i="21"/>
  <c r="Z21" i="21" s="1"/>
  <c r="D83" i="21"/>
  <c r="E83" i="21"/>
  <c r="F83" i="21" s="1"/>
  <c r="G83" i="21" s="1"/>
  <c r="F21" i="21"/>
  <c r="AA21" i="21" s="1"/>
  <c r="C21" i="21"/>
  <c r="Z27" i="40"/>
  <c r="Q27" i="40"/>
  <c r="D96" i="40"/>
  <c r="E96" i="40" s="1"/>
  <c r="F96" i="40" s="1"/>
  <c r="F27" i="40"/>
  <c r="Z31" i="39"/>
  <c r="Q31" i="39"/>
  <c r="D105" i="39"/>
  <c r="E105" i="39" s="1"/>
  <c r="F105" i="39" s="1"/>
  <c r="G105" i="39" s="1"/>
  <c r="F31" i="39"/>
  <c r="AA31" i="39" s="1"/>
  <c r="G20" i="20"/>
  <c r="B85" i="46" s="1"/>
  <c r="C22" i="20"/>
  <c r="S21" i="37"/>
  <c r="C27" i="40"/>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c r="K12" i="31" s="1"/>
  <c r="L12" i="31" s="1"/>
  <c r="M12" i="31" s="1"/>
  <c r="N12" i="31" s="1"/>
  <c r="O12" i="31" s="1"/>
  <c r="P12" i="31" s="1"/>
  <c r="Q12" i="31" s="1"/>
  <c r="R12" i="31" s="1"/>
  <c r="S12" i="31" s="1"/>
  <c r="D10" i="31"/>
  <c r="E10" i="31"/>
  <c r="F10" i="31" s="1"/>
  <c r="G10" i="31" s="1"/>
  <c r="H10" i="3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L69" i="3"/>
  <c r="BK69" i="3"/>
  <c r="BJ69" i="3"/>
  <c r="BI69" i="3"/>
  <c r="BH69" i="3"/>
  <c r="BG69" i="3"/>
  <c r="BF69" i="3"/>
  <c r="BE69" i="3"/>
  <c r="BD69" i="3"/>
  <c r="BC69" i="3"/>
  <c r="BA69" i="3" s="1"/>
  <c r="AZ69" i="3" s="1"/>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BC168" i="3"/>
  <c r="BB168" i="3"/>
  <c r="AZ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BC132" i="3"/>
  <c r="BB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L128" i="3" s="1"/>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L120" i="3" s="1"/>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Z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H62" i="40"/>
  <c r="I62" i="40" s="1"/>
  <c r="C62" i="40" s="1"/>
  <c r="H61" i="40"/>
  <c r="I61" i="40"/>
  <c r="C61" i="40" s="1"/>
  <c r="H60" i="40"/>
  <c r="H59" i="40"/>
  <c r="H58" i="40"/>
  <c r="I58" i="40" s="1"/>
  <c r="C58" i="40" s="1"/>
  <c r="H57" i="40"/>
  <c r="I57" i="40"/>
  <c r="C57" i="40" s="1"/>
  <c r="H56" i="40"/>
  <c r="I56" i="40"/>
  <c r="C56" i="40"/>
  <c r="H55" i="40"/>
  <c r="I55" i="40"/>
  <c r="C55" i="40"/>
  <c r="H54" i="40"/>
  <c r="I54" i="40" s="1"/>
  <c r="C54" i="40" s="1"/>
  <c r="H63" i="39"/>
  <c r="I63" i="39"/>
  <c r="C63" i="39" s="1"/>
  <c r="H59" i="39"/>
  <c r="I59" i="39"/>
  <c r="C59" i="39"/>
  <c r="H67" i="39"/>
  <c r="I67" i="39"/>
  <c r="C67" i="39"/>
  <c r="H66" i="39"/>
  <c r="I66" i="39" s="1"/>
  <c r="C66" i="39" s="1"/>
  <c r="H65" i="39"/>
  <c r="I65" i="39"/>
  <c r="C65" i="39" s="1"/>
  <c r="H64" i="39"/>
  <c r="I64" i="39" s="1"/>
  <c r="C64" i="39" s="1"/>
  <c r="H62" i="39"/>
  <c r="I62" i="39"/>
  <c r="C62" i="39"/>
  <c r="H61" i="39"/>
  <c r="I61" i="39"/>
  <c r="C61" i="39"/>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c r="R433" i="31"/>
  <c r="R434" i="31"/>
  <c r="S434" i="31"/>
  <c r="R435" i="31"/>
  <c r="R436" i="31"/>
  <c r="S436" i="31" s="1"/>
  <c r="R437" i="31"/>
  <c r="R438" i="31"/>
  <c r="S438" i="31"/>
  <c r="R439" i="31"/>
  <c r="R440" i="31"/>
  <c r="S440" i="31"/>
  <c r="R441" i="31"/>
  <c r="R442" i="31"/>
  <c r="S442" i="31"/>
  <c r="R443" i="31"/>
  <c r="R444" i="31"/>
  <c r="S444" i="31" s="1"/>
  <c r="R445" i="31"/>
  <c r="R446" i="31"/>
  <c r="S446" i="31"/>
  <c r="R447" i="31"/>
  <c r="R448" i="31"/>
  <c r="S448" i="31"/>
  <c r="R449" i="31"/>
  <c r="R450" i="31"/>
  <c r="S450" i="31"/>
  <c r="R451" i="31"/>
  <c r="R452" i="31"/>
  <c r="S452" i="31" s="1"/>
  <c r="R453" i="31"/>
  <c r="R454" i="31"/>
  <c r="S454" i="31"/>
  <c r="R455" i="31"/>
  <c r="R456" i="31"/>
  <c r="S456" i="31"/>
  <c r="R457" i="31"/>
  <c r="R458" i="31"/>
  <c r="S458" i="31"/>
  <c r="R459" i="31"/>
  <c r="R460" i="31"/>
  <c r="S460" i="31" s="1"/>
  <c r="R461" i="31"/>
  <c r="R462" i="31"/>
  <c r="S462" i="31"/>
  <c r="R463" i="31"/>
  <c r="R464" i="31"/>
  <c r="S464" i="3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s="1"/>
  <c r="R503" i="31"/>
  <c r="R504" i="31"/>
  <c r="S504" i="31"/>
  <c r="R505" i="31"/>
  <c r="R506" i="31"/>
  <c r="S506" i="31"/>
  <c r="R507" i="31"/>
  <c r="R508" i="31"/>
  <c r="S508" i="31"/>
  <c r="R509" i="31"/>
  <c r="R510" i="31"/>
  <c r="S510" i="31" s="1"/>
  <c r="R511" i="31"/>
  <c r="R512" i="31"/>
  <c r="S512" i="31"/>
  <c r="R513" i="31"/>
  <c r="R514" i="31"/>
  <c r="S514" i="31"/>
  <c r="R515" i="31"/>
  <c r="R516" i="31"/>
  <c r="S516" i="31"/>
  <c r="R517" i="31"/>
  <c r="R518" i="31"/>
  <c r="S518" i="31" s="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c r="E55" i="34"/>
  <c r="F55" i="34" s="1"/>
  <c r="I50" i="40"/>
  <c r="J50" i="40"/>
  <c r="G50" i="40"/>
  <c r="H50" i="40" s="1"/>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c r="G112" i="34" s="1"/>
  <c r="H112" i="34" s="1"/>
  <c r="I112" i="34" s="1"/>
  <c r="J112" i="34" s="1"/>
  <c r="K112" i="34" s="1"/>
  <c r="L112" i="34" s="1"/>
  <c r="M112" i="34" s="1"/>
  <c r="F40" i="33"/>
  <c r="J41" i="33"/>
  <c r="AC41" i="33"/>
  <c r="D113" i="33"/>
  <c r="F37" i="33"/>
  <c r="AA37" i="33" s="1"/>
  <c r="D111" i="33"/>
  <c r="E111" i="33"/>
  <c r="F111" i="33"/>
  <c r="G111" i="33" s="1"/>
  <c r="H111" i="33" s="1"/>
  <c r="I111" i="33" s="1"/>
  <c r="J111" i="33"/>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c r="B120" i="40"/>
  <c r="B118" i="40"/>
  <c r="F40" i="40"/>
  <c r="AA40" i="40"/>
  <c r="D117" i="40"/>
  <c r="E117" i="40"/>
  <c r="F117" i="40"/>
  <c r="G117" i="40"/>
  <c r="H117" i="40" s="1"/>
  <c r="I117" i="40" s="1"/>
  <c r="J117" i="40" s="1"/>
  <c r="K117" i="40"/>
  <c r="L117" i="40" s="1"/>
  <c r="M117" i="40" s="1"/>
  <c r="D115" i="40"/>
  <c r="E115" i="40" s="1"/>
  <c r="F115" i="40" s="1"/>
  <c r="G115" i="40" s="1"/>
  <c r="H115" i="40" s="1"/>
  <c r="I115" i="40" s="1"/>
  <c r="J115" i="40" s="1"/>
  <c r="K115" i="40" s="1"/>
  <c r="L115" i="40" s="1"/>
  <c r="M115" i="40" s="1"/>
  <c r="J38" i="40"/>
  <c r="AC38" i="40" s="1"/>
  <c r="H38" i="40"/>
  <c r="AB38" i="40"/>
  <c r="D113" i="40"/>
  <c r="E113" i="40"/>
  <c r="F113" i="40"/>
  <c r="M109" i="40"/>
  <c r="L109" i="40"/>
  <c r="K109" i="40"/>
  <c r="J109" i="40"/>
  <c r="I109" i="40"/>
  <c r="H109" i="40"/>
  <c r="G109" i="40"/>
  <c r="F109" i="40"/>
  <c r="E109" i="40"/>
  <c r="D109" i="40"/>
  <c r="C109" i="40"/>
  <c r="B107" i="40"/>
  <c r="B105" i="40"/>
  <c r="F34" i="40" s="1"/>
  <c r="AA34" i="40" s="1"/>
  <c r="B103" i="40"/>
  <c r="D102" i="40"/>
  <c r="E102" i="40" s="1"/>
  <c r="F102" i="40" s="1"/>
  <c r="G102" i="40" s="1"/>
  <c r="H102" i="40"/>
  <c r="I102" i="40" s="1"/>
  <c r="J102" i="40" s="1"/>
  <c r="K102" i="40" s="1"/>
  <c r="L102" i="40" s="1"/>
  <c r="M102" i="40" s="1"/>
  <c r="D100" i="40"/>
  <c r="E100" i="40"/>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s="1"/>
  <c r="Q16" i="39"/>
  <c r="Z16" i="39" s="1"/>
  <c r="Q15" i="39"/>
  <c r="Z15" i="39"/>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c r="S32" i="36"/>
  <c r="B95" i="36"/>
  <c r="H34" i="36"/>
  <c r="D83" i="36"/>
  <c r="E83" i="36"/>
  <c r="F83" i="36" s="1"/>
  <c r="G83" i="36" s="1"/>
  <c r="H83" i="36" s="1"/>
  <c r="I83" i="36"/>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c r="Q24" i="36"/>
  <c r="Z24" i="36" s="1"/>
  <c r="H24" i="36"/>
  <c r="AB24" i="36" s="1"/>
  <c r="Q23" i="36"/>
  <c r="Z23" i="36" s="1"/>
  <c r="J23" i="36"/>
  <c r="AC23" i="36" s="1"/>
  <c r="H23" i="36"/>
  <c r="AB23" i="36" s="1"/>
  <c r="F23" i="36"/>
  <c r="AA23" i="36" s="1"/>
  <c r="Q22" i="36"/>
  <c r="Z22" i="36" s="1"/>
  <c r="J22" i="36"/>
  <c r="AC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H34" i="35" s="1"/>
  <c r="AB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c r="Q35" i="35"/>
  <c r="Z35" i="35" s="1"/>
  <c r="Q34" i="35"/>
  <c r="Z34" i="35"/>
  <c r="J34" i="35"/>
  <c r="AC34" i="35" s="1"/>
  <c r="F34" i="35"/>
  <c r="AA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c r="H10" i="34"/>
  <c r="AB10" i="34" s="1"/>
  <c r="D126" i="34"/>
  <c r="E126" i="34"/>
  <c r="F126" i="34" s="1"/>
  <c r="G126" i="34" s="1"/>
  <c r="D124" i="34"/>
  <c r="E124" i="34"/>
  <c r="F124" i="34" s="1"/>
  <c r="G124" i="34" s="1"/>
  <c r="H124" i="34" s="1"/>
  <c r="I124" i="34"/>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J12" i="33"/>
  <c r="W12" i="33" s="1"/>
  <c r="H12" i="33"/>
  <c r="U12" i="33" s="1"/>
  <c r="F12" i="33"/>
  <c r="S12" i="33"/>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c r="C21" i="20"/>
  <c r="B73" i="46" s="1"/>
  <c r="C20" i="20"/>
  <c r="B76" i="46" s="1"/>
  <c r="C18" i="20"/>
  <c r="B70" i="46" s="1"/>
  <c r="C17" i="20"/>
  <c r="B58" i="46"/>
  <c r="C16" i="20"/>
  <c r="B47" i="46" s="1"/>
  <c r="C15" i="20"/>
  <c r="B69" i="46"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H42" i="21"/>
  <c r="AB42" i="21"/>
  <c r="D119"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W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s="1"/>
  <c r="D81" i="21"/>
  <c r="E81" i="21"/>
  <c r="F81" i="21"/>
  <c r="G81" i="21" s="1"/>
  <c r="D77" i="21"/>
  <c r="E77" i="2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F9" i="12"/>
  <c r="F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A570"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L572" i="3" s="1"/>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c r="J26" i="21"/>
  <c r="W26" i="21" s="1"/>
  <c r="F26" i="21"/>
  <c r="AA26" i="21"/>
  <c r="AB41" i="21"/>
  <c r="S41" i="21"/>
  <c r="AA41" i="21"/>
  <c r="W41" i="21"/>
  <c r="S10" i="39"/>
  <c r="U30" i="37"/>
  <c r="E103" i="37"/>
  <c r="F103" i="37"/>
  <c r="F39" i="37"/>
  <c r="S39" i="37" s="1"/>
  <c r="W39" i="37"/>
  <c r="F29" i="36"/>
  <c r="AA29" i="36"/>
  <c r="F16" i="36"/>
  <c r="AA16" i="36"/>
  <c r="U22" i="36"/>
  <c r="W23" i="36"/>
  <c r="W22" i="36"/>
  <c r="U26" i="36"/>
  <c r="AC31" i="36"/>
  <c r="J33" i="36"/>
  <c r="W33" i="36" s="1"/>
  <c r="AC27" i="35"/>
  <c r="U31" i="35"/>
  <c r="S34" i="35"/>
  <c r="W36" i="35"/>
  <c r="W24" i="35"/>
  <c r="S31" i="35"/>
  <c r="W31" i="35"/>
  <c r="U34" i="35"/>
  <c r="F36" i="34"/>
  <c r="S36" i="34"/>
  <c r="W9" i="34"/>
  <c r="S34" i="34"/>
  <c r="W39" i="34"/>
  <c r="H39" i="33"/>
  <c r="AB39" i="33"/>
  <c r="F26" i="33"/>
  <c r="AA26" i="33"/>
  <c r="U33" i="33"/>
  <c r="S40" i="33"/>
  <c r="S33" i="33"/>
  <c r="W33" i="33"/>
  <c r="U38" i="33"/>
  <c r="S8" i="21"/>
  <c r="W8" i="21"/>
  <c r="H39" i="37"/>
  <c r="AB39" i="37" s="1"/>
  <c r="AB27" i="35"/>
  <c r="S10" i="40"/>
  <c r="W10" i="40"/>
  <c r="S11" i="40"/>
  <c r="U11" i="40"/>
  <c r="S36" i="40"/>
  <c r="U36" i="40"/>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s="1"/>
  <c r="AC24" i="36"/>
  <c r="U29" i="36"/>
  <c r="U24" i="36"/>
  <c r="E85" i="36"/>
  <c r="F85" i="36"/>
  <c r="G85" i="36"/>
  <c r="H85" i="36" s="1"/>
  <c r="I85" i="36" s="1"/>
  <c r="J85" i="36" s="1"/>
  <c r="K85" i="36" s="1"/>
  <c r="L85" i="36" s="1"/>
  <c r="M85" i="36" s="1"/>
  <c r="J29" i="36"/>
  <c r="AC29" i="36"/>
  <c r="F12" i="36"/>
  <c r="S12" i="36" s="1"/>
  <c r="F24" i="36"/>
  <c r="AA24" i="36"/>
  <c r="F34" i="36"/>
  <c r="S34" i="36" s="1"/>
  <c r="S10" i="36"/>
  <c r="AB8" i="36"/>
  <c r="H16" i="35"/>
  <c r="U16" i="35" s="1"/>
  <c r="H33" i="35"/>
  <c r="AB33" i="35"/>
  <c r="F35" i="37"/>
  <c r="E101" i="37"/>
  <c r="F101" i="37" s="1"/>
  <c r="G101" i="37" s="1"/>
  <c r="H101" i="37" s="1"/>
  <c r="I101" i="37" s="1"/>
  <c r="J101" i="37" s="1"/>
  <c r="K101" i="37" s="1"/>
  <c r="L101" i="37" s="1"/>
  <c r="M101" i="37" s="1"/>
  <c r="J34" i="37"/>
  <c r="W34" i="37" s="1"/>
  <c r="H43" i="34"/>
  <c r="U42" i="34"/>
  <c r="E114" i="34"/>
  <c r="H36" i="34"/>
  <c r="U36" i="34"/>
  <c r="F37" i="34"/>
  <c r="AA37" i="34" s="1"/>
  <c r="F33" i="34"/>
  <c r="S33" i="34"/>
  <c r="AA28" i="34"/>
  <c r="F19" i="34"/>
  <c r="AA19" i="34"/>
  <c r="J10" i="34"/>
  <c r="AC10" i="34" s="1"/>
  <c r="U9" i="34"/>
  <c r="W8" i="34"/>
  <c r="J28" i="34"/>
  <c r="W28" i="34" s="1"/>
  <c r="S38" i="33"/>
  <c r="E113" i="33"/>
  <c r="F36" i="33"/>
  <c r="S36" i="33" s="1"/>
  <c r="F19" i="33"/>
  <c r="S19" i="33"/>
  <c r="J19" i="33"/>
  <c r="S10" i="21"/>
  <c r="W40" i="33"/>
  <c r="G86" i="40"/>
  <c r="AB30" i="36"/>
  <c r="AC34" i="36"/>
  <c r="S22" i="35"/>
  <c r="H29" i="35"/>
  <c r="U34" i="37"/>
  <c r="S34" i="37"/>
  <c r="AA34" i="37"/>
  <c r="AC43" i="34"/>
  <c r="AB42" i="34"/>
  <c r="AB40" i="34"/>
  <c r="W36" i="34"/>
  <c r="J19" i="34"/>
  <c r="AC19" i="34" s="1"/>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s="1"/>
  <c r="J10" i="35"/>
  <c r="W10" i="35"/>
  <c r="AL5" i="3"/>
  <c r="BQ13" i="3"/>
  <c r="J14" i="21"/>
  <c r="W14" i="21" s="1"/>
  <c r="F14" i="21"/>
  <c r="AA14" i="21"/>
  <c r="H14" i="21"/>
  <c r="U14" i="21" s="1"/>
  <c r="H28" i="21"/>
  <c r="AB28" i="21"/>
  <c r="F28" i="21"/>
  <c r="S28" i="21" s="1"/>
  <c r="J28" i="21"/>
  <c r="AC28" i="21" s="1"/>
  <c r="H30" i="21"/>
  <c r="AB30" i="21" s="1"/>
  <c r="U30" i="21"/>
  <c r="F30" i="21"/>
  <c r="S30" i="21" s="1"/>
  <c r="J30" i="21"/>
  <c r="J44" i="21"/>
  <c r="AC44" i="21" s="1"/>
  <c r="H44" i="21"/>
  <c r="U44" i="21"/>
  <c r="F44" i="21"/>
  <c r="AA44" i="21" s="1"/>
  <c r="H46" i="21"/>
  <c r="AB46" i="21"/>
  <c r="J46" i="21"/>
  <c r="W46" i="21" s="1"/>
  <c r="F46" i="21"/>
  <c r="AA46" i="21"/>
  <c r="H26" i="33"/>
  <c r="U26" i="33" s="1"/>
  <c r="H28" i="33"/>
  <c r="F28" i="33"/>
  <c r="AA28" i="33"/>
  <c r="J28" i="33"/>
  <c r="W28" i="33" s="1"/>
  <c r="F33" i="35"/>
  <c r="S33" i="35"/>
  <c r="J33" i="35"/>
  <c r="W33" i="35" s="1"/>
  <c r="F30" i="35"/>
  <c r="AA30" i="35"/>
  <c r="E89" i="35"/>
  <c r="F89" i="35" s="1"/>
  <c r="G89" i="35" s="1"/>
  <c r="H89" i="35" s="1"/>
  <c r="I89" i="35" s="1"/>
  <c r="J89" i="35" s="1"/>
  <c r="K89" i="35" s="1"/>
  <c r="L89" i="35" s="1"/>
  <c r="M89" i="35" s="1"/>
  <c r="H10" i="36"/>
  <c r="AB10" i="36"/>
  <c r="F28" i="36"/>
  <c r="S28" i="36" s="1"/>
  <c r="F27" i="36"/>
  <c r="S27" i="36"/>
  <c r="H13" i="21"/>
  <c r="U13" i="21" s="1"/>
  <c r="J13" i="21"/>
  <c r="AC13" i="21"/>
  <c r="F13" i="21"/>
  <c r="AA13" i="21" s="1"/>
  <c r="H27" i="21"/>
  <c r="AB27" i="21"/>
  <c r="J27" i="21"/>
  <c r="W27" i="21" s="1"/>
  <c r="F27" i="21"/>
  <c r="AA27" i="21"/>
  <c r="J29" i="21"/>
  <c r="AC29" i="21" s="1"/>
  <c r="H29" i="21"/>
  <c r="U29" i="21"/>
  <c r="F29" i="21"/>
  <c r="S29" i="21" s="1"/>
  <c r="J31" i="21"/>
  <c r="AC31" i="21"/>
  <c r="H31" i="21"/>
  <c r="U31" i="21" s="1"/>
  <c r="F31" i="21"/>
  <c r="S31" i="21"/>
  <c r="J45" i="21"/>
  <c r="W45" i="21" s="1"/>
  <c r="F45" i="21"/>
  <c r="AA45" i="21"/>
  <c r="H45" i="21"/>
  <c r="U45" i="21" s="1"/>
  <c r="J27" i="33"/>
  <c r="AC27" i="33"/>
  <c r="F27" i="33"/>
  <c r="S27" i="33" s="1"/>
  <c r="F13" i="33"/>
  <c r="S13" i="33"/>
  <c r="J29" i="33"/>
  <c r="W29" i="33" s="1"/>
  <c r="J31" i="33"/>
  <c r="AC31" i="33"/>
  <c r="H31" i="33"/>
  <c r="U31" i="33" s="1"/>
  <c r="S31" i="33"/>
  <c r="J45" i="33"/>
  <c r="W45" i="33"/>
  <c r="F45" i="33"/>
  <c r="S45" i="33" s="1"/>
  <c r="F11" i="35"/>
  <c r="S11" i="35"/>
  <c r="H28" i="36"/>
  <c r="U28" i="36" s="1"/>
  <c r="H32" i="36"/>
  <c r="AB32" i="36"/>
  <c r="J32" i="36"/>
  <c r="J11" i="36"/>
  <c r="W11" i="36"/>
  <c r="H13" i="36"/>
  <c r="AB13" i="36" s="1"/>
  <c r="J13" i="36"/>
  <c r="W13" i="36"/>
  <c r="F13" i="36"/>
  <c r="S13" i="36" s="1"/>
  <c r="E89" i="37"/>
  <c r="F89" i="37"/>
  <c r="G89" i="37"/>
  <c r="H89" i="37" s="1"/>
  <c r="I89" i="37" s="1"/>
  <c r="J89" i="37" s="1"/>
  <c r="K89" i="37" s="1"/>
  <c r="L89" i="37" s="1"/>
  <c r="M89" i="37" s="1"/>
  <c r="J29" i="37"/>
  <c r="W29" i="37"/>
  <c r="F29" i="37"/>
  <c r="AA29" i="37" s="1"/>
  <c r="F105" i="37"/>
  <c r="G105" i="37" s="1"/>
  <c r="AB36" i="37"/>
  <c r="F107" i="37"/>
  <c r="J37" i="37"/>
  <c r="AC37" i="37"/>
  <c r="H37" i="37"/>
  <c r="U37" i="37" s="1"/>
  <c r="H40" i="37"/>
  <c r="U40" i="37"/>
  <c r="J40" i="37"/>
  <c r="F40" i="37"/>
  <c r="AA40" i="37" s="1"/>
  <c r="H14" i="33"/>
  <c r="U14" i="33"/>
  <c r="F14" i="33"/>
  <c r="AA14" i="33" s="1"/>
  <c r="J14" i="33"/>
  <c r="AC14" i="33"/>
  <c r="H30" i="33"/>
  <c r="AB30" i="33" s="1"/>
  <c r="F30" i="33"/>
  <c r="S30" i="33"/>
  <c r="J30" i="33"/>
  <c r="H44" i="33"/>
  <c r="U44" i="33"/>
  <c r="J44" i="33"/>
  <c r="AC44" i="33" s="1"/>
  <c r="F44" i="33"/>
  <c r="S44" i="33"/>
  <c r="J46" i="33"/>
  <c r="AC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AA45" i="34" s="1"/>
  <c r="H47" i="34"/>
  <c r="U47" i="34"/>
  <c r="F47" i="34"/>
  <c r="AA47" i="34" s="1"/>
  <c r="J47" i="34"/>
  <c r="AC47" i="34"/>
  <c r="F13" i="35"/>
  <c r="S13" i="35" s="1"/>
  <c r="J13" i="35"/>
  <c r="AC13" i="35"/>
  <c r="H13" i="35"/>
  <c r="U13" i="35" s="1"/>
  <c r="J25" i="35"/>
  <c r="AC25" i="35"/>
  <c r="F25" i="35"/>
  <c r="AA25" i="35" s="1"/>
  <c r="H25" i="35"/>
  <c r="AB25" i="35"/>
  <c r="J35" i="35"/>
  <c r="AC35" i="35" s="1"/>
  <c r="F35" i="35"/>
  <c r="S35" i="35"/>
  <c r="H35" i="35"/>
  <c r="U35" i="35" s="1"/>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S38" i="37" s="1"/>
  <c r="F14" i="37"/>
  <c r="AA14" i="37"/>
  <c r="F27" i="37"/>
  <c r="AA27" i="37" s="1"/>
  <c r="J14" i="37"/>
  <c r="W14" i="37"/>
  <c r="J27" i="37"/>
  <c r="W27" i="37" s="1"/>
  <c r="AB13" i="35"/>
  <c r="AB40" i="37"/>
  <c r="J36" i="37"/>
  <c r="AC36" i="37" s="1"/>
  <c r="AB31" i="21"/>
  <c r="S46" i="21"/>
  <c r="U46" i="21"/>
  <c r="AC30" i="21"/>
  <c r="W30" i="21"/>
  <c r="AA28" i="21"/>
  <c r="W42" i="21"/>
  <c r="W31" i="34"/>
  <c r="S46" i="33"/>
  <c r="U36" i="37"/>
  <c r="AC13" i="36"/>
  <c r="AB45"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AZ557" i="3"/>
  <c r="BA555" i="3"/>
  <c r="AZ555" i="3" s="1"/>
  <c r="BA551" i="3"/>
  <c r="AZ551" i="3"/>
  <c r="BA545" i="3"/>
  <c r="BA543" i="3"/>
  <c r="BA541" i="3"/>
  <c r="AZ541" i="3"/>
  <c r="BA531" i="3"/>
  <c r="BA521" i="3"/>
  <c r="BA509" i="3"/>
  <c r="BA505" i="3"/>
  <c r="BA501" i="3"/>
  <c r="BA493" i="3"/>
  <c r="AZ493" i="3"/>
  <c r="BA487" i="3"/>
  <c r="BA19" i="3"/>
  <c r="BA566" i="3"/>
  <c r="BA562" i="3"/>
  <c r="AZ562" i="3" s="1"/>
  <c r="BA560" i="3"/>
  <c r="BA558" i="3"/>
  <c r="BA556" i="3"/>
  <c r="BA554" i="3"/>
  <c r="BA550" i="3"/>
  <c r="AZ550" i="3" s="1"/>
  <c r="BA546" i="3"/>
  <c r="BA544" i="3"/>
  <c r="AZ544" i="3" s="1"/>
  <c r="BA540" i="3"/>
  <c r="BA536" i="3"/>
  <c r="BA532" i="3"/>
  <c r="BA528" i="3"/>
  <c r="BA524" i="3"/>
  <c r="BA520" i="3"/>
  <c r="BA516" i="3"/>
  <c r="BA512" i="3"/>
  <c r="BA508" i="3"/>
  <c r="BA502" i="3"/>
  <c r="AZ502" i="3"/>
  <c r="BA498" i="3"/>
  <c r="BA492" i="3"/>
  <c r="BA488" i="3"/>
  <c r="AZ488" i="3" s="1"/>
  <c r="BA484" i="3"/>
  <c r="BA20" i="3"/>
  <c r="AZ545" i="3"/>
  <c r="G566" i="3"/>
  <c r="G562" i="3"/>
  <c r="G560" i="3"/>
  <c r="G558" i="3"/>
  <c r="G556" i="3"/>
  <c r="G554" i="3"/>
  <c r="G550" i="3"/>
  <c r="G546" i="3"/>
  <c r="BL543" i="3"/>
  <c r="AZ543" i="3" s="1"/>
  <c r="BA542" i="3"/>
  <c r="AC542" i="3"/>
  <c r="G542" i="3" s="1"/>
  <c r="BQ542" i="3"/>
  <c r="BL542" i="3"/>
  <c r="AZ542" i="3"/>
  <c r="BQ568" i="3"/>
  <c r="BQ566" i="3"/>
  <c r="BQ564" i="3"/>
  <c r="BL564" i="3"/>
  <c r="BQ562" i="3"/>
  <c r="BL562" i="3" s="1"/>
  <c r="BQ560" i="3"/>
  <c r="BL560" i="3" s="1"/>
  <c r="BQ558" i="3"/>
  <c r="BL558" i="3"/>
  <c r="BQ556" i="3"/>
  <c r="BL556" i="3" s="1"/>
  <c r="BQ554" i="3"/>
  <c r="BQ552" i="3"/>
  <c r="BL552" i="3" s="1"/>
  <c r="BQ550" i="3"/>
  <c r="BL550" i="3"/>
  <c r="BQ548" i="3"/>
  <c r="BQ546" i="3"/>
  <c r="BL546" i="3" s="1"/>
  <c r="AZ546" i="3" s="1"/>
  <c r="BQ544" i="3"/>
  <c r="BL544" i="3"/>
  <c r="G544" i="3"/>
  <c r="G538" i="3"/>
  <c r="G534" i="3"/>
  <c r="G530" i="3"/>
  <c r="G526" i="3"/>
  <c r="G522" i="3"/>
  <c r="BQ540" i="3"/>
  <c r="BL540" i="3" s="1"/>
  <c r="AZ540" i="3" s="1"/>
  <c r="BQ538" i="3"/>
  <c r="BL538" i="3"/>
  <c r="BQ536" i="3"/>
  <c r="BQ534" i="3"/>
  <c r="BL534" i="3" s="1"/>
  <c r="BQ532" i="3"/>
  <c r="BL532" i="3"/>
  <c r="AZ532" i="3" s="1"/>
  <c r="BQ530" i="3"/>
  <c r="BQ528" i="3"/>
  <c r="BQ526" i="3"/>
  <c r="BL526" i="3"/>
  <c r="BQ524" i="3"/>
  <c r="BL524" i="3" s="1"/>
  <c r="AZ524" i="3" s="1"/>
  <c r="BQ522" i="3"/>
  <c r="BQ520" i="3"/>
  <c r="BL520" i="3" s="1"/>
  <c r="AZ520" i="3" s="1"/>
  <c r="BQ518" i="3"/>
  <c r="BQ516" i="3"/>
  <c r="BL516" i="3"/>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AZ492" i="3" s="1"/>
  <c r="BQ490" i="3"/>
  <c r="BQ488" i="3"/>
  <c r="BL488" i="3"/>
  <c r="BQ486" i="3"/>
  <c r="BQ484" i="3"/>
  <c r="BL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s="1"/>
  <c r="J25" i="21"/>
  <c r="AC25" i="21"/>
  <c r="E125" i="33"/>
  <c r="F125" i="33" s="1"/>
  <c r="G125" i="33" s="1"/>
  <c r="H43" i="33"/>
  <c r="U43" i="33"/>
  <c r="H17" i="37"/>
  <c r="U17" i="37" s="1"/>
  <c r="F23" i="37"/>
  <c r="AA23" i="37" s="1"/>
  <c r="S23" i="37"/>
  <c r="F79" i="37"/>
  <c r="AB27" i="37"/>
  <c r="F39" i="33"/>
  <c r="AA39" i="33"/>
  <c r="E123" i="33"/>
  <c r="F42" i="33"/>
  <c r="AA42" i="33"/>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s="1"/>
  <c r="J43" i="33"/>
  <c r="AC43" i="33"/>
  <c r="G79" i="37"/>
  <c r="J23" i="37"/>
  <c r="W23" i="37" s="1"/>
  <c r="F17" i="37"/>
  <c r="AA17" i="37"/>
  <c r="AB43" i="33"/>
  <c r="D3" i="21"/>
  <c r="AC33" i="36"/>
  <c r="AC12" i="35"/>
  <c r="W23" i="35"/>
  <c r="U39" i="37"/>
  <c r="AC8" i="37"/>
  <c r="AC36" i="34"/>
  <c r="AB8" i="34"/>
  <c r="AC37" i="33"/>
  <c r="AA13" i="33"/>
  <c r="AC45" i="33"/>
  <c r="U19" i="21"/>
  <c r="AC33" i="21"/>
  <c r="AA36" i="21"/>
  <c r="S39" i="33"/>
  <c r="F43" i="33"/>
  <c r="AA43" i="33" s="1"/>
  <c r="AB44" i="33"/>
  <c r="G107" i="37"/>
  <c r="H107" i="37" s="1"/>
  <c r="I107" i="37" s="1"/>
  <c r="J107" i="37" s="1"/>
  <c r="K107" i="37" s="1"/>
  <c r="L107" i="37" s="1"/>
  <c r="M107" i="37" s="1"/>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94" i="37" s="1"/>
  <c r="G94" i="37" s="1"/>
  <c r="H94" i="37" s="1"/>
  <c r="I94" i="37" s="1"/>
  <c r="J94" i="37" s="1"/>
  <c r="K94" i="37" s="1"/>
  <c r="L94" i="37" s="1"/>
  <c r="M94" i="37" s="1"/>
  <c r="F31" i="37"/>
  <c r="S31" i="37" s="1"/>
  <c r="H31" i="37"/>
  <c r="AB31" i="37"/>
  <c r="J15" i="37"/>
  <c r="W15" i="37" s="1"/>
  <c r="AB10" i="37"/>
  <c r="J11" i="37"/>
  <c r="W11" i="37" s="1"/>
  <c r="U31" i="37"/>
  <c r="E90" i="40"/>
  <c r="F21" i="40"/>
  <c r="S21" i="40" s="1"/>
  <c r="W36" i="40"/>
  <c r="F90" i="40"/>
  <c r="G90" i="40" s="1"/>
  <c r="J21" i="40"/>
  <c r="AC21" i="40" s="1"/>
  <c r="S27" i="31"/>
  <c r="AZ558" i="3"/>
  <c r="G483" i="3"/>
  <c r="G515" i="3"/>
  <c r="G507" i="3"/>
  <c r="G501" i="3"/>
  <c r="BA15" i="3"/>
  <c r="BL17" i="3"/>
  <c r="BL15" i="3"/>
  <c r="BA14" i="3"/>
  <c r="AZ14" i="3"/>
  <c r="J57" i="39"/>
  <c r="H13" i="40"/>
  <c r="U13" i="40" s="1"/>
  <c r="H12" i="48"/>
  <c r="I4" i="4"/>
  <c r="K141" i="21"/>
  <c r="K143" i="21"/>
  <c r="K144" i="21"/>
  <c r="I59" i="40"/>
  <c r="C59" i="40" s="1"/>
  <c r="I60" i="40"/>
  <c r="C60" i="40" s="1"/>
  <c r="G297" i="3"/>
  <c r="BL298" i="3"/>
  <c r="AZ298" i="3" s="1"/>
  <c r="G299" i="3"/>
  <c r="BL300" i="3"/>
  <c r="BA302" i="3"/>
  <c r="AZ302" i="3"/>
  <c r="BA303" i="3"/>
  <c r="AZ303" i="3" s="1"/>
  <c r="BL303" i="3"/>
  <c r="G304" i="3"/>
  <c r="BA305" i="3"/>
  <c r="AZ305" i="3" s="1"/>
  <c r="G321" i="3"/>
  <c r="BL322" i="3"/>
  <c r="G323" i="3"/>
  <c r="BL324" i="3"/>
  <c r="BA326" i="3"/>
  <c r="AZ326" i="3"/>
  <c r="BA327" i="3"/>
  <c r="AZ327" i="3" s="1"/>
  <c r="BL327" i="3"/>
  <c r="G328" i="3"/>
  <c r="BA329" i="3"/>
  <c r="AZ329" i="3" s="1"/>
  <c r="G337" i="3"/>
  <c r="BL338" i="3"/>
  <c r="G339" i="3"/>
  <c r="BL340" i="3"/>
  <c r="BA342" i="3"/>
  <c r="AZ342" i="3"/>
  <c r="BA343" i="3"/>
  <c r="AZ343" i="3" s="1"/>
  <c r="BL343" i="3"/>
  <c r="G344" i="3"/>
  <c r="BA345" i="3"/>
  <c r="AZ345" i="3" s="1"/>
  <c r="G353" i="3"/>
  <c r="BL354" i="3"/>
  <c r="G355" i="3"/>
  <c r="BL356" i="3"/>
  <c r="G357" i="3"/>
  <c r="BL358" i="3"/>
  <c r="AZ358" i="3"/>
  <c r="G359" i="3"/>
  <c r="BA360" i="3"/>
  <c r="AZ360" i="3"/>
  <c r="BA361" i="3"/>
  <c r="AZ361" i="3" s="1"/>
  <c r="BL361" i="3"/>
  <c r="G362" i="3"/>
  <c r="BA363" i="3"/>
  <c r="G371" i="3"/>
  <c r="BL372" i="3"/>
  <c r="G373" i="3"/>
  <c r="BL374" i="3"/>
  <c r="BA376" i="3"/>
  <c r="AZ376" i="3" s="1"/>
  <c r="BA377" i="3"/>
  <c r="BL377" i="3"/>
  <c r="AZ377" i="3" s="1"/>
  <c r="G378" i="3"/>
  <c r="BA379" i="3"/>
  <c r="BA114" i="3"/>
  <c r="AZ114" i="3"/>
  <c r="BL115" i="3"/>
  <c r="AZ115" i="3" s="1"/>
  <c r="G116" i="3"/>
  <c r="BA118" i="3"/>
  <c r="AZ118" i="3" s="1"/>
  <c r="BL119" i="3"/>
  <c r="AZ119" i="3"/>
  <c r="G120" i="3"/>
  <c r="BA122" i="3"/>
  <c r="AZ122" i="3" s="1"/>
  <c r="BL123" i="3"/>
  <c r="AZ123" i="3"/>
  <c r="G124" i="3"/>
  <c r="BA126" i="3"/>
  <c r="AZ126" i="3"/>
  <c r="BL127" i="3"/>
  <c r="AZ127" i="3" s="1"/>
  <c r="G128" i="3"/>
  <c r="BA130" i="3"/>
  <c r="AZ130" i="3"/>
  <c r="BL131" i="3"/>
  <c r="AZ131" i="3" s="1"/>
  <c r="G132" i="3"/>
  <c r="BA134" i="3"/>
  <c r="AZ134" i="3"/>
  <c r="BL135" i="3"/>
  <c r="AZ135" i="3" s="1"/>
  <c r="G136" i="3"/>
  <c r="BA138" i="3"/>
  <c r="AZ138" i="3" s="1"/>
  <c r="BL139" i="3"/>
  <c r="AZ139" i="3"/>
  <c r="G140" i="3"/>
  <c r="BA142" i="3"/>
  <c r="AZ142" i="3" s="1"/>
  <c r="BL143" i="3"/>
  <c r="G144" i="3"/>
  <c r="BA146" i="3"/>
  <c r="AZ146" i="3" s="1"/>
  <c r="BL147" i="3"/>
  <c r="AZ147" i="3"/>
  <c r="G148" i="3"/>
  <c r="BA150" i="3"/>
  <c r="AZ150" i="3"/>
  <c r="BL151" i="3"/>
  <c r="AZ151" i="3" s="1"/>
  <c r="BA153" i="3"/>
  <c r="AZ153" i="3"/>
  <c r="BL154" i="3"/>
  <c r="G155" i="3"/>
  <c r="BA157" i="3"/>
  <c r="AZ157" i="3"/>
  <c r="BL158" i="3"/>
  <c r="AZ158" i="3" s="1"/>
  <c r="G159" i="3"/>
  <c r="BA161" i="3"/>
  <c r="AZ161" i="3"/>
  <c r="BL162" i="3"/>
  <c r="AZ162" i="3" s="1"/>
  <c r="G163" i="3"/>
  <c r="BA165" i="3"/>
  <c r="AZ165" i="3"/>
  <c r="BL166" i="3"/>
  <c r="AZ166" i="3" s="1"/>
  <c r="G167" i="3"/>
  <c r="BA169" i="3"/>
  <c r="AZ169" i="3"/>
  <c r="BL170" i="3"/>
  <c r="G171" i="3"/>
  <c r="BA173" i="3"/>
  <c r="AZ173" i="3"/>
  <c r="BL174" i="3"/>
  <c r="AZ174" i="3" s="1"/>
  <c r="G175" i="3"/>
  <c r="BA178" i="3"/>
  <c r="AZ178" i="3"/>
  <c r="BL179" i="3"/>
  <c r="AZ179" i="3" s="1"/>
  <c r="G180" i="3"/>
  <c r="AZ23" i="3"/>
  <c r="AZ31" i="3"/>
  <c r="AZ39" i="3"/>
  <c r="AZ43" i="3"/>
  <c r="AZ47" i="3"/>
  <c r="AZ59" i="3"/>
  <c r="G537" i="3"/>
  <c r="BL181" i="3"/>
  <c r="AZ181" i="3" s="1"/>
  <c r="G182" i="3"/>
  <c r="BA184" i="3"/>
  <c r="BL185" i="3"/>
  <c r="G186" i="3"/>
  <c r="BA188" i="3"/>
  <c r="AZ188" i="3" s="1"/>
  <c r="BL189" i="3"/>
  <c r="AZ189" i="3"/>
  <c r="G190" i="3"/>
  <c r="BA192" i="3"/>
  <c r="BL193" i="3"/>
  <c r="AZ193" i="3"/>
  <c r="G194" i="3"/>
  <c r="BA196" i="3"/>
  <c r="AZ196" i="3"/>
  <c r="BL197" i="3"/>
  <c r="AZ197" i="3" s="1"/>
  <c r="G198" i="3"/>
  <c r="BA200" i="3"/>
  <c r="AZ200" i="3"/>
  <c r="BL201" i="3"/>
  <c r="AZ66" i="3"/>
  <c r="AZ70" i="3"/>
  <c r="AZ74" i="3"/>
  <c r="AZ78" i="3"/>
  <c r="AZ185" i="3"/>
  <c r="AZ201" i="3"/>
  <c r="AZ90" i="3"/>
  <c r="AZ94" i="3"/>
  <c r="AZ98" i="3"/>
  <c r="AZ106" i="3"/>
  <c r="AZ110" i="3"/>
  <c r="G491" i="3"/>
  <c r="BA298" i="3"/>
  <c r="BA299" i="3"/>
  <c r="AZ299" i="3" s="1"/>
  <c r="BL299" i="3"/>
  <c r="G300" i="3"/>
  <c r="G303" i="3"/>
  <c r="BL304" i="3"/>
  <c r="BA306" i="3"/>
  <c r="AZ306" i="3"/>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AZ339" i="3" s="1"/>
  <c r="G340" i="3"/>
  <c r="G343" i="3"/>
  <c r="BL344" i="3"/>
  <c r="BA346" i="3"/>
  <c r="AZ346" i="3"/>
  <c r="BA347" i="3"/>
  <c r="AZ347" i="3" s="1"/>
  <c r="BL347" i="3"/>
  <c r="G348" i="3"/>
  <c r="G351" i="3"/>
  <c r="BL352" i="3"/>
  <c r="BA354" i="3"/>
  <c r="BA355" i="3"/>
  <c r="AZ355" i="3"/>
  <c r="BL355" i="3"/>
  <c r="G356" i="3"/>
  <c r="AZ143" i="3"/>
  <c r="BA358" i="3"/>
  <c r="BA359" i="3"/>
  <c r="BL359" i="3"/>
  <c r="AZ359" i="3"/>
  <c r="G360" i="3"/>
  <c r="G361" i="3"/>
  <c r="BL362" i="3"/>
  <c r="BA364" i="3"/>
  <c r="AZ364" i="3" s="1"/>
  <c r="BA365" i="3"/>
  <c r="BL365" i="3"/>
  <c r="AZ365" i="3" s="1"/>
  <c r="G366" i="3"/>
  <c r="G369" i="3"/>
  <c r="BL370" i="3"/>
  <c r="BA372" i="3"/>
  <c r="AZ372" i="3" s="1"/>
  <c r="BA373" i="3"/>
  <c r="BL373" i="3"/>
  <c r="AZ373" i="3" s="1"/>
  <c r="G374" i="3"/>
  <c r="G377" i="3"/>
  <c r="BL378" i="3"/>
  <c r="BA380" i="3"/>
  <c r="AZ380" i="3" s="1"/>
  <c r="BA381" i="3"/>
  <c r="AZ381" i="3"/>
  <c r="BL381" i="3"/>
  <c r="G382" i="3"/>
  <c r="G385" i="3"/>
  <c r="AZ154" i="3"/>
  <c r="AZ170" i="3"/>
  <c r="AZ183" i="3"/>
  <c r="AZ187" i="3"/>
  <c r="AZ191" i="3"/>
  <c r="AZ195"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209" i="3"/>
  <c r="AZ213" i="3"/>
  <c r="AZ217" i="3"/>
  <c r="AZ221" i="3"/>
  <c r="AZ225" i="3"/>
  <c r="AZ229" i="3"/>
  <c r="AZ233" i="3"/>
  <c r="AZ237" i="3"/>
  <c r="AZ241" i="3"/>
  <c r="AZ245" i="3"/>
  <c r="AZ309" i="3"/>
  <c r="AZ317" i="3"/>
  <c r="AZ321" i="3"/>
  <c r="AZ333" i="3"/>
  <c r="AZ337" i="3"/>
  <c r="AZ341" i="3"/>
  <c r="AZ353" i="3"/>
  <c r="AZ357" i="3"/>
  <c r="AZ363" i="3"/>
  <c r="G368" i="3"/>
  <c r="BA370" i="3"/>
  <c r="AZ370" i="3" s="1"/>
  <c r="BL371" i="3"/>
  <c r="AZ371" i="3" s="1"/>
  <c r="G372" i="3"/>
  <c r="BA374" i="3"/>
  <c r="AZ374" i="3" s="1"/>
  <c r="BL375" i="3"/>
  <c r="G376" i="3"/>
  <c r="BA378" i="3"/>
  <c r="BL379" i="3"/>
  <c r="AZ379" i="3"/>
  <c r="G380" i="3"/>
  <c r="BA382" i="3"/>
  <c r="AZ382" i="3" s="1"/>
  <c r="BL383" i="3"/>
  <c r="G384" i="3"/>
  <c r="AZ249" i="3"/>
  <c r="AZ253" i="3"/>
  <c r="AZ257" i="3"/>
  <c r="AZ261" i="3"/>
  <c r="AZ265" i="3"/>
  <c r="AZ375" i="3"/>
  <c r="AZ270" i="3"/>
  <c r="AZ274" i="3"/>
  <c r="AZ278" i="3"/>
  <c r="AZ282" i="3"/>
  <c r="AZ286" i="3"/>
  <c r="AZ290" i="3"/>
  <c r="AZ295" i="3"/>
  <c r="AZ311" i="3"/>
  <c r="AZ313" i="3"/>
  <c r="AZ319" i="3"/>
  <c r="AZ331" i="3"/>
  <c r="AZ335"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54" i="3"/>
  <c r="AZ322" i="3"/>
  <c r="AA36" i="35"/>
  <c r="H11" i="37"/>
  <c r="AB11" i="37"/>
  <c r="W37" i="37"/>
  <c r="AA30" i="33"/>
  <c r="AA36" i="37"/>
  <c r="S42" i="33"/>
  <c r="U32" i="33"/>
  <c r="AB17" i="37"/>
  <c r="AZ508" i="3"/>
  <c r="AZ516" i="3"/>
  <c r="AC29" i="33"/>
  <c r="AA45" i="33"/>
  <c r="AC11" i="36"/>
  <c r="AC10" i="36"/>
  <c r="AB45" i="34"/>
  <c r="AC14" i="37"/>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c r="H35" i="37"/>
  <c r="AB35" i="37" s="1"/>
  <c r="S26" i="21"/>
  <c r="AB12" i="21"/>
  <c r="H32" i="21"/>
  <c r="U32" i="21" s="1"/>
  <c r="AB26" i="21"/>
  <c r="U26" i="21"/>
  <c r="AA33" i="21"/>
  <c r="S33" i="21"/>
  <c r="U39" i="21"/>
  <c r="W9" i="21"/>
  <c r="J32" i="21"/>
  <c r="AC32" i="21" s="1"/>
  <c r="G13" i="3"/>
  <c r="AC5" i="3"/>
  <c r="F17" i="21"/>
  <c r="S17" i="21" s="1"/>
  <c r="H17" i="21"/>
  <c r="AB17" i="21"/>
  <c r="J17" i="21"/>
  <c r="AC17" i="21" s="1"/>
  <c r="H37" i="21"/>
  <c r="U37" i="21"/>
  <c r="F40" i="21"/>
  <c r="S40" i="21" s="1"/>
  <c r="H40" i="21"/>
  <c r="AB40" i="21"/>
  <c r="E119" i="21"/>
  <c r="F119" i="21" s="1"/>
  <c r="G119" i="21" s="1"/>
  <c r="H119" i="21"/>
  <c r="I119" i="21"/>
  <c r="J119" i="21" s="1"/>
  <c r="K119" i="21" s="1"/>
  <c r="L119" i="21" s="1"/>
  <c r="M119" i="21" s="1"/>
  <c r="AA8" i="33"/>
  <c r="S8" i="33"/>
  <c r="AC8" i="33"/>
  <c r="H66" i="33"/>
  <c r="F10" i="33"/>
  <c r="AA10" i="33"/>
  <c r="F11" i="33"/>
  <c r="S11" i="33"/>
  <c r="J15" i="33"/>
  <c r="W15" i="33"/>
  <c r="H19" i="33"/>
  <c r="AB19" i="33" s="1"/>
  <c r="F32" i="33"/>
  <c r="AA32" i="33"/>
  <c r="J32" i="33"/>
  <c r="AC32" i="33" s="1"/>
  <c r="F35" i="33"/>
  <c r="AA35" i="33"/>
  <c r="AB39" i="34"/>
  <c r="F11" i="34"/>
  <c r="S11" i="34" s="1"/>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J14" i="35"/>
  <c r="AC14" i="35" s="1"/>
  <c r="F14" i="35"/>
  <c r="H14" i="35"/>
  <c r="U14" i="35"/>
  <c r="E80" i="35"/>
  <c r="E94" i="35"/>
  <c r="F94" i="35"/>
  <c r="G94" i="35"/>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H29" i="39" s="1"/>
  <c r="U29" i="39" s="1"/>
  <c r="F39" i="39"/>
  <c r="H39" i="39"/>
  <c r="AB39" i="39" s="1"/>
  <c r="J39" i="39"/>
  <c r="J29" i="35"/>
  <c r="AC29" i="35" s="1"/>
  <c r="F29" i="35"/>
  <c r="S29" i="35"/>
  <c r="W30" i="36"/>
  <c r="AC30" i="36"/>
  <c r="F37" i="39"/>
  <c r="S37" i="39"/>
  <c r="H37" i="39"/>
  <c r="U37" i="39" s="1"/>
  <c r="J37" i="39"/>
  <c r="W37" i="39" s="1"/>
  <c r="BL568" i="3"/>
  <c r="BA568" i="3"/>
  <c r="AZ568" i="3" s="1"/>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AZ526" i="3"/>
  <c r="BA525" i="3"/>
  <c r="AZ525" i="3" s="1"/>
  <c r="BL523" i="3"/>
  <c r="BA523" i="3"/>
  <c r="AZ523" i="3"/>
  <c r="BL522" i="3"/>
  <c r="BA522" i="3"/>
  <c r="AZ522" i="3"/>
  <c r="BL521" i="3"/>
  <c r="AZ521" i="3" s="1"/>
  <c r="BA519" i="3"/>
  <c r="AZ519" i="3"/>
  <c r="BL518" i="3"/>
  <c r="BA518" i="3"/>
  <c r="AZ518" i="3" s="1"/>
  <c r="BL517" i="3"/>
  <c r="BA517" i="3"/>
  <c r="AZ517" i="3" s="1"/>
  <c r="BL515" i="3"/>
  <c r="BA515" i="3"/>
  <c r="BA514" i="3"/>
  <c r="AZ514" i="3" s="1"/>
  <c r="BL513" i="3"/>
  <c r="BA513" i="3"/>
  <c r="AZ513" i="3"/>
  <c r="BL512" i="3"/>
  <c r="AZ512" i="3" s="1"/>
  <c r="BA511" i="3"/>
  <c r="AZ511" i="3"/>
  <c r="BA510" i="3"/>
  <c r="AZ510" i="3" s="1"/>
  <c r="BL509" i="3"/>
  <c r="AZ509" i="3"/>
  <c r="BL507" i="3"/>
  <c r="BA507" i="3"/>
  <c r="AZ507" i="3"/>
  <c r="BL506" i="3"/>
  <c r="BA506" i="3"/>
  <c r="AZ506" i="3" s="1"/>
  <c r="BL505" i="3"/>
  <c r="AZ505" i="3"/>
  <c r="BL504" i="3"/>
  <c r="BA504" i="3"/>
  <c r="BA503" i="3"/>
  <c r="AZ503" i="3"/>
  <c r="BA500" i="3"/>
  <c r="AZ500" i="3" s="1"/>
  <c r="BL499" i="3"/>
  <c r="BA499" i="3"/>
  <c r="AZ499" i="3" s="1"/>
  <c r="BL498" i="3"/>
  <c r="AZ498" i="3"/>
  <c r="BL497" i="3"/>
  <c r="BA497" i="3"/>
  <c r="BL496" i="3"/>
  <c r="BA496" i="3"/>
  <c r="AZ496" i="3"/>
  <c r="BA495" i="3"/>
  <c r="AZ495" i="3" s="1"/>
  <c r="BL494" i="3"/>
  <c r="BA494" i="3"/>
  <c r="AZ494" i="3" s="1"/>
  <c r="G494" i="3"/>
  <c r="BA491" i="3"/>
  <c r="AZ491" i="3"/>
  <c r="BL490" i="3"/>
  <c r="BA490" i="3"/>
  <c r="AZ490" i="3"/>
  <c r="BL489" i="3"/>
  <c r="BA489" i="3"/>
  <c r="AZ489" i="3" s="1"/>
  <c r="BL487" i="3"/>
  <c r="AZ487" i="3"/>
  <c r="BL486" i="3"/>
  <c r="BA486" i="3"/>
  <c r="BA485" i="3"/>
  <c r="AZ485" i="3"/>
  <c r="BA483" i="3"/>
  <c r="AZ483" i="3" s="1"/>
  <c r="BA482" i="3"/>
  <c r="AZ482" i="3"/>
  <c r="BL481" i="3"/>
  <c r="BJ5" i="3"/>
  <c r="BA481" i="3"/>
  <c r="AZ481" i="3"/>
  <c r="BB5" i="3"/>
  <c r="BL19" i="3"/>
  <c r="AZ19" i="3"/>
  <c r="BA18" i="3"/>
  <c r="F36" i="44"/>
  <c r="F114" i="34"/>
  <c r="G114" i="34"/>
  <c r="H114" i="34"/>
  <c r="I114" i="34" s="1"/>
  <c r="J114" i="34" s="1"/>
  <c r="K114" i="34" s="1"/>
  <c r="L114" i="34" s="1"/>
  <c r="M114" i="34" s="1"/>
  <c r="H38" i="34"/>
  <c r="U38" i="34"/>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c r="E121" i="33"/>
  <c r="F41" i="33"/>
  <c r="S41" i="33" s="1"/>
  <c r="AC34" i="34"/>
  <c r="W34" i="34"/>
  <c r="AA39" i="34"/>
  <c r="S39" i="34"/>
  <c r="S43" i="34"/>
  <c r="E78" i="34"/>
  <c r="F15" i="34"/>
  <c r="AC28" i="35"/>
  <c r="W28" i="35"/>
  <c r="J20" i="35"/>
  <c r="AC20" i="35" s="1"/>
  <c r="E72" i="35"/>
  <c r="F72" i="35"/>
  <c r="G72" i="35"/>
  <c r="H22" i="35"/>
  <c r="AB22" i="35" s="1"/>
  <c r="H23" i="35"/>
  <c r="F23" i="35"/>
  <c r="AA23" i="35" s="1"/>
  <c r="AB36" i="35"/>
  <c r="U36" i="35"/>
  <c r="W12" i="36"/>
  <c r="AC12" i="36"/>
  <c r="U31" i="36"/>
  <c r="S8" i="37"/>
  <c r="AA8" i="37"/>
  <c r="F14" i="39"/>
  <c r="AA14" i="39" s="1"/>
  <c r="H14" i="39"/>
  <c r="AB14" i="39" s="1"/>
  <c r="J14" i="39"/>
  <c r="W14" i="39" s="1"/>
  <c r="F16" i="39"/>
  <c r="AA16" i="39" s="1"/>
  <c r="H16" i="39"/>
  <c r="U16" i="39" s="1"/>
  <c r="J16" i="39"/>
  <c r="AC16" i="39" s="1"/>
  <c r="E97" i="39"/>
  <c r="F23" i="39" s="1"/>
  <c r="AA23" i="39" s="1"/>
  <c r="F27" i="39"/>
  <c r="AA27" i="39" s="1"/>
  <c r="H27" i="39"/>
  <c r="AB27" i="39" s="1"/>
  <c r="F15" i="40"/>
  <c r="AA15" i="40"/>
  <c r="J15" i="40"/>
  <c r="AC15" i="40" s="1"/>
  <c r="H15" i="40"/>
  <c r="AB15" i="40"/>
  <c r="E92" i="40"/>
  <c r="F92" i="40"/>
  <c r="H23" i="40"/>
  <c r="U23" i="40" s="1"/>
  <c r="H41" i="40"/>
  <c r="AB41" i="40"/>
  <c r="F41" i="40"/>
  <c r="AA41" i="40" s="1"/>
  <c r="J41" i="40"/>
  <c r="AC41" i="40" s="1"/>
  <c r="H36" i="33"/>
  <c r="AB36" i="33" s="1"/>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s="1"/>
  <c r="H32" i="40"/>
  <c r="AB32" i="40" s="1"/>
  <c r="U32" i="40"/>
  <c r="H33" i="40"/>
  <c r="AB33" i="40" s="1"/>
  <c r="F33" i="40"/>
  <c r="AA33" i="40"/>
  <c r="J33" i="40"/>
  <c r="AC33" i="40" s="1"/>
  <c r="H35" i="40"/>
  <c r="AB35" i="40"/>
  <c r="F35" i="40"/>
  <c r="AA35" i="40" s="1"/>
  <c r="J35" i="40"/>
  <c r="AC35" i="40"/>
  <c r="J38" i="39"/>
  <c r="W38" i="39" s="1"/>
  <c r="H38" i="39"/>
  <c r="U38" i="39" s="1"/>
  <c r="J16" i="40"/>
  <c r="W16" i="40"/>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7" i="3"/>
  <c r="AZ180" i="3"/>
  <c r="AZ32" i="3"/>
  <c r="AZ40" i="3"/>
  <c r="AZ48" i="3"/>
  <c r="AZ56" i="3"/>
  <c r="AZ63" i="3"/>
  <c r="AZ71" i="3"/>
  <c r="AZ79" i="3"/>
  <c r="AZ91" i="3"/>
  <c r="AZ99" i="3"/>
  <c r="AZ112" i="3"/>
  <c r="J13" i="40"/>
  <c r="W13" i="40"/>
  <c r="AB14" i="40"/>
  <c r="W40" i="40"/>
  <c r="F27" i="43"/>
  <c r="F66" i="9"/>
  <c r="P72" i="9" s="1"/>
  <c r="F71" i="9"/>
  <c r="AC14" i="40"/>
  <c r="W35" i="40"/>
  <c r="S33" i="40"/>
  <c r="AC47" i="39"/>
  <c r="U37" i="34"/>
  <c r="AB37" i="34"/>
  <c r="W41" i="40"/>
  <c r="U41" i="40"/>
  <c r="J23" i="40"/>
  <c r="AC23" i="40" s="1"/>
  <c r="G92" i="40"/>
  <c r="F23" i="40"/>
  <c r="S23" i="40"/>
  <c r="W15" i="40"/>
  <c r="U23" i="35"/>
  <c r="AB23" i="35"/>
  <c r="H20" i="35"/>
  <c r="F20" i="35"/>
  <c r="S20" i="35"/>
  <c r="H15" i="34"/>
  <c r="AB15" i="34" s="1"/>
  <c r="F78" i="34"/>
  <c r="G78" i="34"/>
  <c r="J15" i="34"/>
  <c r="W15" i="34" s="1"/>
  <c r="H41" i="33"/>
  <c r="U41" i="33"/>
  <c r="F121" i="33"/>
  <c r="G121" i="33"/>
  <c r="H121" i="33" s="1"/>
  <c r="I121" i="33" s="1"/>
  <c r="J121" i="33" s="1"/>
  <c r="K121" i="33" s="1"/>
  <c r="L121" i="33" s="1"/>
  <c r="M121" i="33" s="1"/>
  <c r="F30" i="40"/>
  <c r="AA30" i="40"/>
  <c r="H100" i="40"/>
  <c r="I100" i="40"/>
  <c r="J100" i="40"/>
  <c r="K100" i="40"/>
  <c r="L100" i="40" s="1"/>
  <c r="M100" i="40" s="1"/>
  <c r="AB38" i="34"/>
  <c r="AZ486" i="3"/>
  <c r="AZ497" i="3"/>
  <c r="AZ504" i="3"/>
  <c r="AZ515" i="3"/>
  <c r="AZ529" i="3"/>
  <c r="AZ530" i="3"/>
  <c r="AZ537" i="3"/>
  <c r="AZ547" i="3"/>
  <c r="AZ548" i="3"/>
  <c r="AZ549" i="3"/>
  <c r="AB37" i="39"/>
  <c r="AA29" i="35"/>
  <c r="U39"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c r="J37" i="34"/>
  <c r="AC37" i="34" s="1"/>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A33" i="39"/>
  <c r="S33" i="39"/>
  <c r="S17" i="39"/>
  <c r="U11" i="36"/>
  <c r="F80" i="35"/>
  <c r="G80" i="35" s="1"/>
  <c r="H80" i="35" s="1"/>
  <c r="I80" i="35" s="1"/>
  <c r="J80" i="35" s="1"/>
  <c r="K80" i="35" s="1"/>
  <c r="L80" i="35" s="1"/>
  <c r="M80" i="35" s="1"/>
  <c r="W14" i="35"/>
  <c r="F90" i="34"/>
  <c r="G90" i="34"/>
  <c r="H90" i="34"/>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c r="J17" i="34"/>
  <c r="AC17" i="34" s="1"/>
  <c r="H11" i="34"/>
  <c r="AB11" i="34"/>
  <c r="J35" i="33"/>
  <c r="W35" i="33" s="1"/>
  <c r="S32" i="33"/>
  <c r="AC15" i="33"/>
  <c r="H11" i="33"/>
  <c r="U11" i="33" s="1"/>
  <c r="H10" i="33"/>
  <c r="U10" i="33" s="1"/>
  <c r="I66" i="33"/>
  <c r="J10" i="33"/>
  <c r="AC10" i="33"/>
  <c r="U40" i="21"/>
  <c r="U11" i="37"/>
  <c r="AC16" i="35"/>
  <c r="AC13" i="40"/>
  <c r="J11" i="34"/>
  <c r="W11" i="34"/>
  <c r="S17" i="34"/>
  <c r="AC36" i="33"/>
  <c r="F25" i="40"/>
  <c r="AA25" i="40"/>
  <c r="J11" i="33"/>
  <c r="W11" i="33" s="1"/>
  <c r="H33" i="37"/>
  <c r="AB33" i="37"/>
  <c r="U20" i="35"/>
  <c r="AB20" i="35"/>
  <c r="W23" i="40"/>
  <c r="AP11" i="1"/>
  <c r="B11" i="1"/>
  <c r="E11" i="1" s="1"/>
  <c r="K11" i="1"/>
  <c r="M11" i="1" s="1"/>
  <c r="B9" i="1"/>
  <c r="E9" i="1"/>
  <c r="K9" i="1"/>
  <c r="M9" i="1" s="1"/>
  <c r="C20" i="43"/>
  <c r="F6" i="1"/>
  <c r="G11" i="1"/>
  <c r="M22" i="44"/>
  <c r="F32" i="15"/>
  <c r="F59" i="15" s="1"/>
  <c r="F29" i="12"/>
  <c r="F70" i="9"/>
  <c r="D86" i="9"/>
  <c r="M20" i="44"/>
  <c r="F31" i="43"/>
  <c r="F30" i="44"/>
  <c r="AC25" i="36"/>
  <c r="S23" i="36"/>
  <c r="S8" i="36"/>
  <c r="AA26" i="36"/>
  <c r="AA28" i="36"/>
  <c r="U25" i="36"/>
  <c r="H20" i="36"/>
  <c r="U20" i="36"/>
  <c r="F68" i="36"/>
  <c r="G68" i="36"/>
  <c r="J20" i="36"/>
  <c r="W20" i="36" s="1"/>
  <c r="AC20" i="36"/>
  <c r="F20" i="36"/>
  <c r="S20" i="36" s="1"/>
  <c r="F62" i="36"/>
  <c r="G62" i="36"/>
  <c r="J14" i="36"/>
  <c r="H14" i="36"/>
  <c r="F14" i="36"/>
  <c r="AA14" i="36" s="1"/>
  <c r="U27" i="36"/>
  <c r="U3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c r="H98" i="40"/>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C38" i="39"/>
  <c r="AB15" i="39"/>
  <c r="U11" i="39"/>
  <c r="AB38" i="39"/>
  <c r="U31" i="39"/>
  <c r="AB31" i="39"/>
  <c r="S25" i="39"/>
  <c r="S38" i="39"/>
  <c r="S22" i="31"/>
  <c r="M20" i="15"/>
  <c r="D96" i="9"/>
  <c r="F28" i="15"/>
  <c r="M18" i="15"/>
  <c r="BA16" i="3"/>
  <c r="BA17" i="3"/>
  <c r="AZ17" i="3" s="1"/>
  <c r="K1" i="43"/>
  <c r="G1" i="44"/>
  <c r="I4" i="6"/>
  <c r="AZ15" i="3"/>
  <c r="BK5" i="3"/>
  <c r="BO5" i="3"/>
  <c r="BP5" i="3"/>
  <c r="BN5" i="3"/>
  <c r="BL18" i="3"/>
  <c r="AZ18" i="3"/>
  <c r="BC5" i="3"/>
  <c r="E8" i="6"/>
  <c r="BD5" i="3"/>
  <c r="BR5" i="3"/>
  <c r="BS5" i="3"/>
  <c r="BQ5" i="3"/>
  <c r="BL16" i="3"/>
  <c r="BM5" i="3"/>
  <c r="BA13"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B46" i="50"/>
  <c r="B4" i="63" s="1"/>
  <c r="C46" i="36"/>
  <c r="C59" i="34"/>
  <c r="C48" i="35"/>
  <c r="D48" i="35" s="1"/>
  <c r="C52" i="37"/>
  <c r="D52" i="37" s="1"/>
  <c r="D65" i="40"/>
  <c r="E65" i="40" s="1"/>
  <c r="F65" i="40" s="1"/>
  <c r="F67" i="40" s="1"/>
  <c r="O19" i="46"/>
  <c r="H86" i="46"/>
  <c r="H82" i="46"/>
  <c r="H10" i="48"/>
  <c r="H87" i="46"/>
  <c r="H85" i="46"/>
  <c r="H83" i="46"/>
  <c r="K10" i="1"/>
  <c r="M10" i="1" s="1"/>
  <c r="O10" i="1" s="1"/>
  <c r="P10" i="1" s="1"/>
  <c r="S11" i="1"/>
  <c r="R11" i="1"/>
  <c r="S13" i="1"/>
  <c r="R13" i="1"/>
  <c r="B6" i="1"/>
  <c r="E6" i="1"/>
  <c r="B10" i="1"/>
  <c r="E10" i="1" s="1"/>
  <c r="S10" i="1"/>
  <c r="B8" i="1"/>
  <c r="E8" i="1" s="1"/>
  <c r="B12" i="1"/>
  <c r="E12" i="1" s="1"/>
  <c r="S12" i="1"/>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J31" i="39"/>
  <c r="AC31" i="39" s="1"/>
  <c r="S45"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E58" i="39"/>
  <c r="E53" i="40"/>
  <c r="E5" i="6"/>
  <c r="D21" i="12" s="1"/>
  <c r="C21" i="12" s="1"/>
  <c r="AT6" i="3"/>
  <c r="G29" i="6"/>
  <c r="E29" i="6" s="1"/>
  <c r="K15" i="1" s="1"/>
  <c r="AZ16" i="3"/>
  <c r="A9" i="64"/>
  <c r="A9" i="51"/>
  <c r="B9" i="63" s="1"/>
  <c r="D67" i="40"/>
  <c r="G66" i="36"/>
  <c r="J18" i="36"/>
  <c r="W18" i="36" s="1"/>
  <c r="AE8" i="1"/>
  <c r="AG6" i="1"/>
  <c r="L20" i="6"/>
  <c r="L19" i="6"/>
  <c r="F7" i="21"/>
  <c r="AA7" i="21" s="1"/>
  <c r="R48" i="21" s="1"/>
  <c r="J7" i="21"/>
  <c r="AC7" i="21" s="1"/>
  <c r="V48" i="21" s="1"/>
  <c r="I48" i="21" s="1"/>
  <c r="H7" i="21"/>
  <c r="AB7" i="21" s="1"/>
  <c r="T48" i="21" s="1"/>
  <c r="G48" i="21" s="1"/>
  <c r="E67" i="40"/>
  <c r="S7" i="21"/>
  <c r="C45" i="9"/>
  <c r="H14" i="66" s="1"/>
  <c r="B7" i="66" s="1"/>
  <c r="O40" i="9"/>
  <c r="R7" i="54" s="1"/>
  <c r="B52" i="63" s="1"/>
  <c r="K31" i="9"/>
  <c r="K32" i="9" s="1"/>
  <c r="N76" i="9"/>
  <c r="F11" i="67"/>
  <c r="N7" i="65"/>
  <c r="M10" i="44"/>
  <c r="N4" i="65"/>
  <c r="E13" i="67"/>
  <c r="B12" i="67"/>
  <c r="M26" i="44"/>
  <c r="F14" i="67"/>
  <c r="E10" i="67"/>
  <c r="L49" i="44"/>
  <c r="M30" i="44"/>
  <c r="F18" i="44"/>
  <c r="B13" i="67"/>
  <c r="F10" i="67"/>
  <c r="M25" i="44"/>
  <c r="B8" i="67"/>
  <c r="F43" i="44"/>
  <c r="N6" i="65"/>
  <c r="F37" i="44"/>
  <c r="E12" i="67"/>
  <c r="F9" i="67"/>
  <c r="M11" i="44"/>
  <c r="L48" i="44"/>
  <c r="B11" i="67"/>
  <c r="F28" i="44"/>
  <c r="F15" i="44"/>
  <c r="E14" i="67"/>
  <c r="M28" i="44"/>
  <c r="B14" i="67"/>
  <c r="M8" i="44"/>
  <c r="F11" i="44"/>
  <c r="F40" i="44"/>
  <c r="F38" i="44"/>
  <c r="M29" i="44"/>
  <c r="L48" i="69"/>
  <c r="E8" i="67"/>
  <c r="F8" i="67"/>
  <c r="F46" i="44"/>
  <c r="M23" i="44"/>
  <c r="F45" i="44"/>
  <c r="F13" i="67"/>
  <c r="M31" i="44"/>
  <c r="C19" i="44"/>
  <c r="J17" i="44"/>
  <c r="B10" i="67"/>
  <c r="F39" i="44"/>
  <c r="E11" i="67"/>
  <c r="E9" i="67"/>
  <c r="B9" i="67"/>
  <c r="F9" i="44"/>
  <c r="N5" i="65"/>
  <c r="F10" i="44"/>
  <c r="N3" i="65"/>
  <c r="M24" i="44"/>
  <c r="F12" i="67"/>
  <c r="F8" i="44"/>
  <c r="W27" i="40" l="1"/>
  <c r="AC18" i="36"/>
  <c r="F28" i="69"/>
  <c r="M18" i="69"/>
  <c r="F32" i="69"/>
  <c r="F59" i="69" s="1"/>
  <c r="AZ378" i="3"/>
  <c r="AZ556" i="3"/>
  <c r="AC15" i="34"/>
  <c r="F29" i="39"/>
  <c r="AA29" i="39" s="1"/>
  <c r="AZ484" i="3"/>
  <c r="F72" i="9"/>
  <c r="F34" i="44"/>
  <c r="AZ560" i="3"/>
  <c r="AZ572" i="3"/>
  <c r="AZ570" i="3"/>
  <c r="S10" i="35"/>
  <c r="S27" i="37"/>
  <c r="AC28" i="34"/>
  <c r="AA27" i="33"/>
  <c r="AC14" i="21"/>
  <c r="AB28" i="36"/>
  <c r="W35" i="35"/>
  <c r="AA39" i="37"/>
  <c r="U9" i="33"/>
  <c r="BG5" i="3"/>
  <c r="J9" i="33"/>
  <c r="AB35" i="35"/>
  <c r="AB15" i="37"/>
  <c r="U12" i="37"/>
  <c r="AC23" i="37"/>
  <c r="AC28" i="33"/>
  <c r="AB31" i="33"/>
  <c r="U30" i="33"/>
  <c r="AA38" i="37"/>
  <c r="AC8" i="35"/>
  <c r="BF5" i="3"/>
  <c r="AB14" i="21"/>
  <c r="AB13" i="21"/>
  <c r="W46" i="33"/>
  <c r="W38" i="33"/>
  <c r="G572" i="3"/>
  <c r="C8" i="68"/>
  <c r="C2" i="68" s="1"/>
  <c r="F19" i="6"/>
  <c r="H5" i="3"/>
  <c r="F9" i="33"/>
  <c r="H9" i="35"/>
  <c r="F9" i="35"/>
  <c r="BT5" i="3"/>
  <c r="G28" i="6" s="1"/>
  <c r="BL13" i="3"/>
  <c r="BI5" i="3"/>
  <c r="L19" i="1"/>
  <c r="L20" i="1" s="1"/>
  <c r="F20" i="6"/>
  <c r="E20" i="6" s="1"/>
  <c r="D9" i="12" s="1"/>
  <c r="H25" i="37"/>
  <c r="F25" i="37"/>
  <c r="J25" i="37"/>
  <c r="G567" i="3"/>
  <c r="AZ445" i="3"/>
  <c r="AZ462" i="3"/>
  <c r="AZ464" i="3"/>
  <c r="AZ480" i="3"/>
  <c r="H12" i="36"/>
  <c r="G563" i="3"/>
  <c r="AZ392" i="3"/>
  <c r="AZ393" i="3"/>
  <c r="AZ435" i="3"/>
  <c r="AZ453" i="3"/>
  <c r="AZ413" i="3"/>
  <c r="AZ416" i="3"/>
  <c r="AZ350" i="3"/>
  <c r="AA21" i="34"/>
  <c r="S21" i="34"/>
  <c r="C92" i="9"/>
  <c r="BL384" i="3"/>
  <c r="BA387" i="3"/>
  <c r="AZ387" i="3" s="1"/>
  <c r="BL205" i="3"/>
  <c r="AZ205" i="3" s="1"/>
  <c r="BL207" i="3"/>
  <c r="AZ207" i="3" s="1"/>
  <c r="G209" i="3"/>
  <c r="BA211" i="3"/>
  <c r="AZ211" i="3" s="1"/>
  <c r="AZ214" i="3"/>
  <c r="AZ219" i="3"/>
  <c r="AZ222" i="3"/>
  <c r="AZ227" i="3"/>
  <c r="AZ230" i="3"/>
  <c r="AZ235" i="3"/>
  <c r="AZ238" i="3"/>
  <c r="AZ243" i="3"/>
  <c r="AZ246" i="3"/>
  <c r="AZ251" i="3"/>
  <c r="AZ254" i="3"/>
  <c r="AZ259" i="3"/>
  <c r="AZ262" i="3"/>
  <c r="AZ267" i="3"/>
  <c r="AZ269" i="3"/>
  <c r="AZ288" i="3"/>
  <c r="AZ136" i="3"/>
  <c r="AZ144" i="3"/>
  <c r="AZ163" i="3"/>
  <c r="F9" i="1"/>
  <c r="C12" i="39"/>
  <c r="BA367" i="3"/>
  <c r="AZ367" i="3" s="1"/>
  <c r="AZ384" i="3"/>
  <c r="AZ280" i="3"/>
  <c r="BL351" i="3"/>
  <c r="AZ351" i="3" s="1"/>
  <c r="BA383" i="3"/>
  <c r="AZ383" i="3" s="1"/>
  <c r="BL386" i="3"/>
  <c r="AZ386" i="3" s="1"/>
  <c r="G388" i="3"/>
  <c r="BA206" i="3"/>
  <c r="AZ206" i="3" s="1"/>
  <c r="BA208" i="3"/>
  <c r="AZ208" i="3" s="1"/>
  <c r="BL210" i="3"/>
  <c r="AZ210" i="3" s="1"/>
  <c r="AZ272" i="3"/>
  <c r="AZ283" i="3"/>
  <c r="AZ285" i="3"/>
  <c r="AZ294" i="3"/>
  <c r="AZ296" i="3"/>
  <c r="AZ120" i="3"/>
  <c r="AZ128" i="3"/>
  <c r="AZ155" i="3"/>
  <c r="AZ182" i="3"/>
  <c r="AZ204" i="3"/>
  <c r="AZ21" i="3"/>
  <c r="AZ38" i="3"/>
  <c r="AZ57" i="3"/>
  <c r="AZ60" i="3"/>
  <c r="AZ88" i="3"/>
  <c r="AZ92" i="3"/>
  <c r="BA164" i="3"/>
  <c r="AZ164" i="3" s="1"/>
  <c r="BL172" i="3"/>
  <c r="AZ172" i="3" s="1"/>
  <c r="BA176" i="3"/>
  <c r="AZ176" i="3" s="1"/>
  <c r="BA177" i="3"/>
  <c r="AZ177" i="3" s="1"/>
  <c r="BL184" i="3"/>
  <c r="AZ184" i="3" s="1"/>
  <c r="AZ190" i="3"/>
  <c r="BA199" i="3"/>
  <c r="AZ199" i="3" s="1"/>
  <c r="AZ202" i="3"/>
  <c r="BL21" i="3"/>
  <c r="BL35" i="3"/>
  <c r="AZ35" i="3" s="1"/>
  <c r="BA45" i="3"/>
  <c r="AZ45" i="3" s="1"/>
  <c r="AZ46" i="3"/>
  <c r="BA51" i="3"/>
  <c r="AZ51" i="3" s="1"/>
  <c r="C29" i="59"/>
  <c r="D28" i="59"/>
  <c r="C33" i="59"/>
  <c r="D33" i="59" s="1"/>
  <c r="D32" i="59"/>
  <c r="C49" i="59"/>
  <c r="D48" i="59"/>
  <c r="BL175" i="3"/>
  <c r="AZ175" i="3" s="1"/>
  <c r="BL192" i="3"/>
  <c r="AZ192" i="3" s="1"/>
  <c r="AZ198" i="3"/>
  <c r="BL202" i="3"/>
  <c r="BA24" i="3"/>
  <c r="AZ25" i="3"/>
  <c r="BA27" i="3"/>
  <c r="AZ27" i="3" s="1"/>
  <c r="AZ28" i="3"/>
  <c r="BA33" i="3"/>
  <c r="AZ33" i="3" s="1"/>
  <c r="AZ34" i="3"/>
  <c r="BA42" i="3"/>
  <c r="AZ42" i="3" s="1"/>
  <c r="AZ44" i="3"/>
  <c r="AZ49" i="3"/>
  <c r="BL54" i="3"/>
  <c r="AZ54" i="3" s="1"/>
  <c r="AZ58" i="3"/>
  <c r="AZ73" i="3"/>
  <c r="AZ111" i="3"/>
  <c r="C42" i="59"/>
  <c r="D41" i="59"/>
  <c r="BA50" i="3"/>
  <c r="AZ50" i="3" s="1"/>
  <c r="BA53" i="3"/>
  <c r="AZ53" i="3" s="1"/>
  <c r="BL58" i="3"/>
  <c r="G63" i="3"/>
  <c r="G5" i="3" s="1"/>
  <c r="B3" i="3" s="1"/>
  <c r="G66" i="3"/>
  <c r="G69" i="3"/>
  <c r="AZ80" i="3"/>
  <c r="AZ100" i="3"/>
  <c r="AZ105" i="3"/>
  <c r="AZ109" i="3"/>
  <c r="BL49" i="3"/>
  <c r="BL52" i="3"/>
  <c r="AZ52" i="3" s="1"/>
  <c r="BA62" i="3"/>
  <c r="AZ62" i="3" s="1"/>
  <c r="BA65" i="3"/>
  <c r="AZ65" i="3" s="1"/>
  <c r="BA68" i="3"/>
  <c r="AZ68" i="3" s="1"/>
  <c r="BL76" i="3"/>
  <c r="AZ76" i="3" s="1"/>
  <c r="BL83" i="3"/>
  <c r="AZ83" i="3" s="1"/>
  <c r="BA85" i="3"/>
  <c r="AZ85" i="3" s="1"/>
  <c r="BA86" i="3"/>
  <c r="AZ86" i="3" s="1"/>
  <c r="BL96" i="3"/>
  <c r="AZ96" i="3" s="1"/>
  <c r="BL103" i="3"/>
  <c r="AZ103" i="3" s="1"/>
  <c r="BL107" i="3"/>
  <c r="AZ107" i="3" s="1"/>
  <c r="BL55" i="3"/>
  <c r="AZ55" i="3" s="1"/>
  <c r="BL61" i="3"/>
  <c r="AZ61" i="3" s="1"/>
  <c r="BL64" i="3"/>
  <c r="AZ64" i="3" s="1"/>
  <c r="BL67" i="3"/>
  <c r="AZ67" i="3" s="1"/>
  <c r="BL73" i="3"/>
  <c r="BA75" i="3"/>
  <c r="AZ75" i="3" s="1"/>
  <c r="BA81" i="3"/>
  <c r="AZ81" i="3" s="1"/>
  <c r="BA82" i="3"/>
  <c r="AZ82" i="3" s="1"/>
  <c r="BL84" i="3"/>
  <c r="AZ84" i="3" s="1"/>
  <c r="BL89" i="3"/>
  <c r="AZ89" i="3" s="1"/>
  <c r="BL93" i="3"/>
  <c r="AZ93" i="3" s="1"/>
  <c r="BA95" i="3"/>
  <c r="AZ95" i="3" s="1"/>
  <c r="BA101" i="3"/>
  <c r="AZ101" i="3" s="1"/>
  <c r="BA102" i="3"/>
  <c r="AZ102" i="3" s="1"/>
  <c r="D1" i="57"/>
  <c r="E10" i="57" s="1"/>
  <c r="AA27" i="40"/>
  <c r="S27" i="40"/>
  <c r="AA18" i="36"/>
  <c r="S18" i="36"/>
  <c r="AA25" i="59"/>
  <c r="AA13" i="59"/>
  <c r="N54" i="59"/>
  <c r="B53" i="59"/>
  <c r="E13" i="59"/>
  <c r="E12" i="59" s="1"/>
  <c r="U14" i="59"/>
  <c r="AA8" i="59"/>
  <c r="AA10" i="59"/>
  <c r="AA11" i="59"/>
  <c r="AA9" i="59"/>
  <c r="AA18" i="35"/>
  <c r="S18" i="35"/>
  <c r="D52" i="59"/>
  <c r="O51" i="59"/>
  <c r="S54" i="59"/>
  <c r="X14" i="59"/>
  <c r="X21" i="59"/>
  <c r="X22" i="59"/>
  <c r="AA23" i="59"/>
  <c r="U58" i="59"/>
  <c r="E57" i="59"/>
  <c r="E56" i="59" s="1"/>
  <c r="D70" i="59"/>
  <c r="C69" i="59"/>
  <c r="AA21" i="59"/>
  <c r="B9" i="59"/>
  <c r="B8" i="59" s="1"/>
  <c r="S10" i="59"/>
  <c r="B65" i="46"/>
  <c r="C31" i="39"/>
  <c r="B54" i="46"/>
  <c r="B74" i="46"/>
  <c r="AA3" i="59"/>
  <c r="C16" i="59"/>
  <c r="Y12" i="59"/>
  <c r="Z12" i="59" s="1"/>
  <c r="X16" i="59"/>
  <c r="X13" i="59"/>
  <c r="X17" i="59"/>
  <c r="X18" i="59"/>
  <c r="X23" i="59"/>
  <c r="B24" i="59"/>
  <c r="B25" i="59" s="1"/>
  <c r="B26" i="59" s="1"/>
  <c r="S26" i="59" s="1"/>
  <c r="D44" i="59"/>
  <c r="C45" i="59"/>
  <c r="S62" i="59"/>
  <c r="B61" i="59"/>
  <c r="B60" i="59" s="1"/>
  <c r="V62" i="59"/>
  <c r="F61" i="59"/>
  <c r="F60" i="59" s="1"/>
  <c r="C9" i="59"/>
  <c r="T10" i="59"/>
  <c r="D10" i="59"/>
  <c r="X20" i="59"/>
  <c r="O76" i="9"/>
  <c r="L76" i="9"/>
  <c r="L16" i="4"/>
  <c r="C37" i="59"/>
  <c r="Y16" i="59"/>
  <c r="Z16" i="59" s="1"/>
  <c r="Y18" i="59"/>
  <c r="Z18" i="59" s="1"/>
  <c r="C20" i="59"/>
  <c r="E20" i="59"/>
  <c r="E21" i="59" s="1"/>
  <c r="E22" i="59" s="1"/>
  <c r="U22" i="59" s="1"/>
  <c r="F14" i="59"/>
  <c r="AB12" i="59"/>
  <c r="B13" i="59"/>
  <c r="B12" i="59" s="1"/>
  <c r="AA7" i="59"/>
  <c r="S21" i="21"/>
  <c r="X15" i="59"/>
  <c r="B16" i="59"/>
  <c r="B17" i="59" s="1"/>
  <c r="B18" i="59" s="1"/>
  <c r="S18" i="59" s="1"/>
  <c r="X12" i="59"/>
  <c r="AA16" i="59"/>
  <c r="AA18" i="59"/>
  <c r="AA20" i="59"/>
  <c r="AA22" i="59"/>
  <c r="AA24" i="59"/>
  <c r="Y19" i="59"/>
  <c r="Z19" i="59" s="1"/>
  <c r="E5" i="59"/>
  <c r="U6" i="59"/>
  <c r="AB7" i="59"/>
  <c r="Y8" i="59"/>
  <c r="Z8" i="59" s="1"/>
  <c r="AB8" i="59"/>
  <c r="AA12" i="59"/>
  <c r="X11" i="59"/>
  <c r="AB19" i="59"/>
  <c r="F20" i="59"/>
  <c r="F21" i="59" s="1"/>
  <c r="F22" i="59" s="1"/>
  <c r="V22" i="59" s="1"/>
  <c r="C14" i="59"/>
  <c r="Y11" i="59"/>
  <c r="Z11" i="59" s="1"/>
  <c r="Y13" i="59"/>
  <c r="Z13" i="59" s="1"/>
  <c r="Y3" i="59"/>
  <c r="Z3" i="59" s="1"/>
  <c r="AA15" i="59"/>
  <c r="X5" i="59"/>
  <c r="X7" i="59"/>
  <c r="X8" i="59"/>
  <c r="X9" i="59"/>
  <c r="X10" i="59"/>
  <c r="AB10" i="59"/>
  <c r="Y7" i="59"/>
  <c r="Z7" i="59" s="1"/>
  <c r="F10" i="59"/>
  <c r="Y5" i="59"/>
  <c r="Z5" i="59" s="1"/>
  <c r="AB9" i="59"/>
  <c r="AB6" i="59"/>
  <c r="AA6" i="59"/>
  <c r="AB5" i="59"/>
  <c r="Y6" i="59"/>
  <c r="Z6" i="59" s="1"/>
  <c r="AA5" i="59"/>
  <c r="M43" i="9"/>
  <c r="D18" i="9"/>
  <c r="M44" i="9" s="1"/>
  <c r="E124" i="39"/>
  <c r="F124" i="39" s="1"/>
  <c r="G124" i="39" s="1"/>
  <c r="H124" i="39" s="1"/>
  <c r="I124" i="39" s="1"/>
  <c r="J124" i="39" s="1"/>
  <c r="K124" i="39" s="1"/>
  <c r="L124" i="39" s="1"/>
  <c r="M124" i="39" s="1"/>
  <c r="AB25" i="39"/>
  <c r="F34" i="15"/>
  <c r="F61" i="15" s="1"/>
  <c r="F34" i="69"/>
  <c r="M20" i="69"/>
  <c r="D70" i="39"/>
  <c r="C72" i="39"/>
  <c r="D58" i="33"/>
  <c r="E58" i="33" s="1"/>
  <c r="F58" i="33" s="1"/>
  <c r="G58" i="33" s="1"/>
  <c r="H58" i="33" s="1"/>
  <c r="I58" i="33" s="1"/>
  <c r="J58" i="33" s="1"/>
  <c r="K58" i="33" s="1"/>
  <c r="L58" i="33" s="1"/>
  <c r="M58" i="33" s="1"/>
  <c r="N58" i="33" s="1"/>
  <c r="O58" i="33" s="1"/>
  <c r="AP9" i="1"/>
  <c r="G9" i="1"/>
  <c r="F7" i="1"/>
  <c r="G7" i="1" s="1"/>
  <c r="F8" i="1"/>
  <c r="AP6" i="1"/>
  <c r="C42" i="1"/>
  <c r="C28" i="69" s="1"/>
  <c r="J51" i="69"/>
  <c r="U47" i="39"/>
  <c r="S47" i="39"/>
  <c r="S41" i="39"/>
  <c r="AA21" i="39"/>
  <c r="U21" i="39"/>
  <c r="S23" i="39"/>
  <c r="AA44" i="39"/>
  <c r="AB44" i="39"/>
  <c r="AA42" i="39"/>
  <c r="S42" i="39"/>
  <c r="J42" i="39"/>
  <c r="AC42" i="39" s="1"/>
  <c r="H42" i="39"/>
  <c r="F43" i="39"/>
  <c r="F126" i="39"/>
  <c r="G126" i="39" s="1"/>
  <c r="H126" i="39" s="1"/>
  <c r="I126" i="39" s="1"/>
  <c r="J126" i="39" s="1"/>
  <c r="K126" i="39" s="1"/>
  <c r="L126" i="39" s="1"/>
  <c r="M126" i="39" s="1"/>
  <c r="H43" i="39"/>
  <c r="J43" i="39"/>
  <c r="AC43" i="39" s="1"/>
  <c r="W41" i="39"/>
  <c r="U41" i="39"/>
  <c r="G109" i="39"/>
  <c r="H109" i="39" s="1"/>
  <c r="I109" i="39" s="1"/>
  <c r="J109" i="39" s="1"/>
  <c r="K109" i="39" s="1"/>
  <c r="L109" i="39" s="1"/>
  <c r="M109" i="39" s="1"/>
  <c r="F34" i="39"/>
  <c r="AA34" i="39" s="1"/>
  <c r="J34" i="39"/>
  <c r="AC34" i="39" s="1"/>
  <c r="H34" i="39"/>
  <c r="W33" i="39"/>
  <c r="S29" i="39"/>
  <c r="AB29" i="39"/>
  <c r="G103" i="39"/>
  <c r="J29" i="39"/>
  <c r="AC29" i="39" s="1"/>
  <c r="F101" i="39"/>
  <c r="G101" i="39" s="1"/>
  <c r="J27" i="39"/>
  <c r="AC27" i="39" s="1"/>
  <c r="S27" i="39"/>
  <c r="U27" i="39"/>
  <c r="F99" i="39"/>
  <c r="G99" i="39" s="1"/>
  <c r="J25" i="39"/>
  <c r="F95" i="39"/>
  <c r="G95" i="39" s="1"/>
  <c r="J21" i="39"/>
  <c r="H19" i="39"/>
  <c r="AB19" i="39" s="1"/>
  <c r="F93" i="39"/>
  <c r="G93" i="39" s="1"/>
  <c r="F19" i="39"/>
  <c r="S19" i="39" s="1"/>
  <c r="J19" i="39"/>
  <c r="U23" i="39"/>
  <c r="S31" i="39"/>
  <c r="W31" i="39"/>
  <c r="W23" i="39"/>
  <c r="AC17" i="39"/>
  <c r="AB16" i="39"/>
  <c r="S14" i="39"/>
  <c r="AC14" i="3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202" i="3"/>
  <c r="E44" i="3"/>
  <c r="E414" i="3"/>
  <c r="E238" i="3"/>
  <c r="E92" i="3"/>
  <c r="E408" i="3"/>
  <c r="E418" i="3"/>
  <c r="E471" i="3"/>
  <c r="E41" i="3"/>
  <c r="E250" i="3"/>
  <c r="E411" i="3"/>
  <c r="F30" i="6"/>
  <c r="G3" i="46"/>
  <c r="H22" i="46" s="1"/>
  <c r="C13" i="39"/>
  <c r="A11" i="55"/>
  <c r="B62" i="63" s="1"/>
  <c r="K76" i="9"/>
  <c r="K77" i="9" s="1"/>
  <c r="K79" i="9" s="1"/>
  <c r="K81" i="9" s="1"/>
  <c r="S15" i="39"/>
  <c r="W15" i="39"/>
  <c r="A30" i="64"/>
  <c r="A30" i="51"/>
  <c r="B22" i="63" s="1"/>
  <c r="P75" i="15"/>
  <c r="D23" i="15"/>
  <c r="G23" i="43"/>
  <c r="G26" i="12"/>
  <c r="G28" i="12"/>
  <c r="G1" i="15"/>
  <c r="K1" i="12"/>
  <c r="F3" i="35"/>
  <c r="K7" i="1"/>
  <c r="M7" i="1" s="1"/>
  <c r="O7" i="1" s="1"/>
  <c r="P7" i="1" s="1"/>
  <c r="L27" i="6"/>
  <c r="D12" i="11"/>
  <c r="C12" i="11" s="1"/>
  <c r="BL5" i="3"/>
  <c r="AZ13" i="3"/>
  <c r="A18" i="64"/>
  <c r="B74" i="63" s="1"/>
  <c r="L5" i="54"/>
  <c r="B39" i="63" s="1"/>
  <c r="T41" i="4"/>
  <c r="A17" i="51" s="1"/>
  <c r="B13" i="63" s="1"/>
  <c r="K5" i="54"/>
  <c r="B38" i="63" s="1"/>
  <c r="A3" i="55"/>
  <c r="B56" i="63" s="1"/>
  <c r="A17" i="64"/>
  <c r="A18" i="51"/>
  <c r="B14" i="63" s="1"/>
  <c r="C53" i="10"/>
  <c r="K17" i="4"/>
  <c r="A22" i="51" s="1"/>
  <c r="B16" i="63" s="1"/>
  <c r="R49" i="21"/>
  <c r="E48" i="21"/>
  <c r="E53" i="21" s="1"/>
  <c r="F53" i="21" s="1"/>
  <c r="U7" i="2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2" i="21"/>
  <c r="J52" i="21" s="1"/>
  <c r="C30" i="44"/>
  <c r="C25" i="12"/>
  <c r="C15" i="43"/>
  <c r="C27" i="43"/>
  <c r="C31" i="43"/>
  <c r="C28" i="15"/>
  <c r="C15" i="12"/>
  <c r="H1" i="65"/>
  <c r="W7" i="21"/>
  <c r="H51" i="46"/>
  <c r="X7" i="46"/>
  <c r="E17" i="46"/>
  <c r="N17" i="46"/>
  <c r="O17" i="46"/>
  <c r="M17" i="46"/>
  <c r="L17" i="46"/>
  <c r="O11" i="1"/>
  <c r="P11" i="1" s="1"/>
  <c r="O13" i="1"/>
  <c r="P13" i="1" s="1"/>
  <c r="O9" i="1"/>
  <c r="P9" i="1" s="1"/>
  <c r="E14" i="6"/>
  <c r="E15" i="6"/>
  <c r="E13" i="6"/>
  <c r="E12" i="6"/>
  <c r="E10" i="6"/>
  <c r="E11" i="6"/>
  <c r="O12" i="1"/>
  <c r="P12" i="1" s="1"/>
  <c r="AP7" i="1"/>
  <c r="G13" i="1"/>
  <c r="G52" i="21"/>
  <c r="H52" i="21" s="1"/>
  <c r="G53" i="21"/>
  <c r="H53" i="21" s="1"/>
  <c r="G65" i="40"/>
  <c r="E52" i="37"/>
  <c r="D46" i="36"/>
  <c r="E48" i="35"/>
  <c r="D59" i="34"/>
  <c r="G6" i="1"/>
  <c r="H7" i="33"/>
  <c r="F7" i="33"/>
  <c r="H70" i="46"/>
  <c r="H73" i="46"/>
  <c r="H50" i="46"/>
  <c r="H48" i="46"/>
  <c r="F35" i="46"/>
  <c r="I17" i="46"/>
  <c r="H63" i="46"/>
  <c r="H64" i="46"/>
  <c r="H66" i="46"/>
  <c r="D100" i="46"/>
  <c r="H62" i="46"/>
  <c r="AF12" i="46"/>
  <c r="K100" i="46"/>
  <c r="AB12" i="46"/>
  <c r="AJ12" i="46"/>
  <c r="Z7" i="46"/>
  <c r="AF11" i="46"/>
  <c r="AF13" i="46" s="1"/>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J22" i="44"/>
  <c r="Q73" i="44"/>
  <c r="L60" i="44"/>
  <c r="L59" i="44"/>
  <c r="C29" i="44"/>
  <c r="M9" i="44"/>
  <c r="J8" i="44" s="1"/>
  <c r="E17" i="52"/>
  <c r="E11" i="52"/>
  <c r="E15" i="52"/>
  <c r="E13" i="52"/>
  <c r="B14" i="52"/>
  <c r="E8" i="52"/>
  <c r="E16" i="52"/>
  <c r="B5" i="52"/>
  <c r="B9" i="52"/>
  <c r="B16" i="52"/>
  <c r="B8" i="52"/>
  <c r="B13" i="52"/>
  <c r="E10" i="52"/>
  <c r="E21" i="52"/>
  <c r="E4" i="4" s="1"/>
  <c r="B21" i="55" s="1"/>
  <c r="B72" i="63" s="1"/>
  <c r="M19" i="44"/>
  <c r="F33" i="44"/>
  <c r="F8" i="69"/>
  <c r="M26" i="69"/>
  <c r="M23" i="69"/>
  <c r="M6" i="69"/>
  <c r="J36" i="69"/>
  <c r="I6" i="65"/>
  <c r="M9" i="15"/>
  <c r="C18" i="44"/>
  <c r="M6" i="15"/>
  <c r="I5" i="65"/>
  <c r="F6" i="15"/>
  <c r="M24" i="15"/>
  <c r="J4" i="65"/>
  <c r="F38" i="15"/>
  <c r="F6" i="69"/>
  <c r="M27" i="15"/>
  <c r="M28" i="15"/>
  <c r="F36" i="15"/>
  <c r="F36" i="69"/>
  <c r="F13" i="69"/>
  <c r="M28" i="69"/>
  <c r="L47" i="69"/>
  <c r="F40" i="69"/>
  <c r="F9" i="69"/>
  <c r="F16" i="69"/>
  <c r="F38" i="69"/>
  <c r="F9" i="15"/>
  <c r="F42" i="15"/>
  <c r="F40" i="15"/>
  <c r="I4" i="65"/>
  <c r="J15" i="15"/>
  <c r="M26" i="15"/>
  <c r="L47" i="15"/>
  <c r="F37" i="15"/>
  <c r="L48" i="15"/>
  <c r="M22" i="69"/>
  <c r="M9" i="69"/>
  <c r="F37" i="69"/>
  <c r="J6" i="65"/>
  <c r="J7" i="65"/>
  <c r="M8" i="15"/>
  <c r="F8" i="15"/>
  <c r="M22" i="15"/>
  <c r="F16" i="15"/>
  <c r="M29" i="15"/>
  <c r="F13" i="15"/>
  <c r="F7" i="15"/>
  <c r="I3" i="65"/>
  <c r="F42" i="69"/>
  <c r="F26" i="69"/>
  <c r="M27" i="69"/>
  <c r="F26" i="15"/>
  <c r="M24" i="69"/>
  <c r="J15" i="69"/>
  <c r="M23" i="15"/>
  <c r="J3" i="65"/>
  <c r="J5" i="65"/>
  <c r="F43" i="15"/>
  <c r="I7" i="65"/>
  <c r="J36" i="15"/>
  <c r="M8" i="69"/>
  <c r="C27" i="69" l="1"/>
  <c r="F63" i="69"/>
  <c r="F64" i="69"/>
  <c r="F65" i="69"/>
  <c r="Q72" i="69"/>
  <c r="F67" i="69"/>
  <c r="L58" i="69"/>
  <c r="Q74" i="69" s="1"/>
  <c r="F50" i="69"/>
  <c r="G30" i="6"/>
  <c r="G31" i="6" s="1"/>
  <c r="E28" i="6"/>
  <c r="D69" i="59"/>
  <c r="C68" i="59"/>
  <c r="D68" i="59" s="1"/>
  <c r="E330" i="3"/>
  <c r="E486" i="3"/>
  <c r="E543" i="3"/>
  <c r="E264" i="3"/>
  <c r="E369" i="3"/>
  <c r="V6" i="3"/>
  <c r="E105" i="3"/>
  <c r="AG6" i="3"/>
  <c r="E121" i="3"/>
  <c r="E224" i="3"/>
  <c r="E123" i="3"/>
  <c r="E76" i="3"/>
  <c r="E188" i="3"/>
  <c r="E306" i="3"/>
  <c r="E493" i="3"/>
  <c r="E108" i="3"/>
  <c r="E16" i="3"/>
  <c r="E524" i="3"/>
  <c r="E498" i="3"/>
  <c r="E298" i="3"/>
  <c r="E361" i="3"/>
  <c r="E267" i="3"/>
  <c r="E159" i="3"/>
  <c r="E512" i="3"/>
  <c r="E371" i="3"/>
  <c r="E487" i="3"/>
  <c r="E26" i="3"/>
  <c r="E17" i="3"/>
  <c r="E358" i="3"/>
  <c r="E564" i="3"/>
  <c r="E297" i="3"/>
  <c r="AN6" i="3"/>
  <c r="E464" i="3"/>
  <c r="E450" i="3"/>
  <c r="E131" i="3"/>
  <c r="E304" i="3"/>
  <c r="E165" i="3"/>
  <c r="E404" i="3"/>
  <c r="E30" i="3"/>
  <c r="E441" i="3"/>
  <c r="E367" i="3"/>
  <c r="E415" i="3"/>
  <c r="E80" i="3"/>
  <c r="E28" i="3"/>
  <c r="E141" i="3"/>
  <c r="E168" i="3"/>
  <c r="E34" i="3"/>
  <c r="E407" i="3"/>
  <c r="E550" i="3"/>
  <c r="E533" i="3"/>
  <c r="E189" i="3"/>
  <c r="E37" i="3"/>
  <c r="E507" i="3"/>
  <c r="E303" i="3"/>
  <c r="E275" i="3"/>
  <c r="L6" i="3"/>
  <c r="E467" i="3"/>
  <c r="E429" i="3"/>
  <c r="E67" i="3"/>
  <c r="E116" i="3"/>
  <c r="E214" i="3"/>
  <c r="E372" i="3"/>
  <c r="E465" i="3"/>
  <c r="E154" i="3"/>
  <c r="E309" i="3"/>
  <c r="E448" i="3"/>
  <c r="E74" i="3"/>
  <c r="E505" i="3"/>
  <c r="E419" i="3"/>
  <c r="E302" i="3"/>
  <c r="E386" i="3"/>
  <c r="E287" i="3"/>
  <c r="E271" i="3"/>
  <c r="E508" i="3"/>
  <c r="E551" i="3"/>
  <c r="E81" i="3"/>
  <c r="E385" i="3"/>
  <c r="E19" i="3"/>
  <c r="E35" i="3"/>
  <c r="E315" i="3"/>
  <c r="E312" i="3"/>
  <c r="E514" i="3"/>
  <c r="E384" i="3"/>
  <c r="AB6" i="3"/>
  <c r="S6" i="3"/>
  <c r="E511" i="3"/>
  <c r="E18" i="3"/>
  <c r="E20" i="3"/>
  <c r="E280" i="3"/>
  <c r="E157"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254" i="3"/>
  <c r="E112" i="3"/>
  <c r="E341" i="3"/>
  <c r="E268" i="3"/>
  <c r="E316" i="3"/>
  <c r="E175" i="3"/>
  <c r="E318" i="3"/>
  <c r="E565" i="3"/>
  <c r="E380" i="3"/>
  <c r="E503" i="3"/>
  <c r="E208" i="3"/>
  <c r="E461" i="3"/>
  <c r="E519" i="3"/>
  <c r="E252" i="3"/>
  <c r="E544" i="3"/>
  <c r="E523" i="3"/>
  <c r="E13" i="3"/>
  <c r="E59"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395" i="3"/>
  <c r="E270" i="3"/>
  <c r="E161"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344" i="3"/>
  <c r="E485" i="3"/>
  <c r="E335" i="3"/>
  <c r="E483" i="3"/>
  <c r="E366" i="3"/>
  <c r="E532" i="3"/>
  <c r="E340" i="3"/>
  <c r="E350" i="3"/>
  <c r="E521" i="3"/>
  <c r="E496" i="3"/>
  <c r="E130" i="3"/>
  <c r="E352" i="3"/>
  <c r="E138" i="3"/>
  <c r="E328" i="3"/>
  <c r="E155" i="3"/>
  <c r="E346" i="3"/>
  <c r="E541" i="3"/>
  <c r="E557" i="3"/>
  <c r="E243" i="3"/>
  <c r="E24" i="3"/>
  <c r="E180" i="3"/>
  <c r="E246" i="3"/>
  <c r="E277" i="3"/>
  <c r="E95" i="3"/>
  <c r="E212" i="3"/>
  <c r="E182" i="3"/>
  <c r="E323" i="3"/>
  <c r="E501" i="3"/>
  <c r="E310" i="3"/>
  <c r="E329" i="3"/>
  <c r="E322" i="3"/>
  <c r="E377" i="3"/>
  <c r="E509" i="3"/>
  <c r="AZ24" i="3"/>
  <c r="BA5" i="3"/>
  <c r="E27" i="6" s="1"/>
  <c r="W25" i="37"/>
  <c r="AC25" i="37"/>
  <c r="AA9" i="35"/>
  <c r="S9" i="35"/>
  <c r="F27" i="6"/>
  <c r="F31" i="6" s="1"/>
  <c r="AC6" i="3"/>
  <c r="F13" i="59"/>
  <c r="F12" i="59" s="1"/>
  <c r="V14" i="59"/>
  <c r="C8" i="59"/>
  <c r="D9" i="59"/>
  <c r="T42" i="59"/>
  <c r="D42" i="59"/>
  <c r="E563" i="3"/>
  <c r="AA25" i="37"/>
  <c r="S25" i="37"/>
  <c r="AB9" i="35"/>
  <c r="U9" i="35"/>
  <c r="C7" i="68"/>
  <c r="C6" i="68"/>
  <c r="C5" i="68"/>
  <c r="C3" i="68"/>
  <c r="C4" i="68"/>
  <c r="F2" i="68"/>
  <c r="I2" i="68"/>
  <c r="AZ5" i="3"/>
  <c r="E3" i="6" s="1"/>
  <c r="W34" i="39"/>
  <c r="W42" i="39"/>
  <c r="F9" i="59"/>
  <c r="F8" i="59" s="1"/>
  <c r="F7" i="59" s="1"/>
  <c r="F6" i="59" s="1"/>
  <c r="V10" i="59"/>
  <c r="D14" i="59"/>
  <c r="T14" i="59"/>
  <c r="C13" i="59"/>
  <c r="C38" i="59"/>
  <c r="D37" i="59"/>
  <c r="D45" i="59"/>
  <c r="C46" i="59"/>
  <c r="C50" i="59"/>
  <c r="D49" i="59"/>
  <c r="C30" i="59"/>
  <c r="D29" i="59"/>
  <c r="U12" i="36"/>
  <c r="AB12" i="36"/>
  <c r="U25" i="37"/>
  <c r="AB25" i="37"/>
  <c r="AA9" i="33"/>
  <c r="S9" i="33"/>
  <c r="E19" i="6"/>
  <c r="AC9" i="33"/>
  <c r="W9" i="33"/>
  <c r="H6" i="3"/>
  <c r="E6" i="3" s="1"/>
  <c r="W43" i="39"/>
  <c r="J7" i="33"/>
  <c r="W7" i="33" s="1"/>
  <c r="D20" i="59"/>
  <c r="C21" i="59"/>
  <c r="D16" i="59"/>
  <c r="C17" i="59"/>
  <c r="N53" i="59"/>
  <c r="B52" i="59"/>
  <c r="E66" i="3"/>
  <c r="E209" i="3"/>
  <c r="E567" i="3"/>
  <c r="E572" i="3"/>
  <c r="W29" i="39"/>
  <c r="F61" i="69"/>
  <c r="I53" i="21"/>
  <c r="J53" i="21" s="1"/>
  <c r="L59" i="69"/>
  <c r="I54" i="69"/>
  <c r="J59" i="69"/>
  <c r="J57" i="69"/>
  <c r="J55" i="69" s="1"/>
  <c r="J58" i="69" s="1"/>
  <c r="Q51" i="69" s="1"/>
  <c r="J60" i="69"/>
  <c r="Q49" i="69" s="1"/>
  <c r="E70" i="39"/>
  <c r="D72" i="39"/>
  <c r="L57" i="69"/>
  <c r="AP8" i="1"/>
  <c r="G8" i="1"/>
  <c r="AC7" i="33"/>
  <c r="V48" i="33" s="1"/>
  <c r="I48" i="33" s="1"/>
  <c r="I52" i="33" s="1"/>
  <c r="J52" i="33" s="1"/>
  <c r="J53" i="69"/>
  <c r="L60" i="69"/>
  <c r="L56" i="69"/>
  <c r="U19" i="39"/>
  <c r="AB42" i="39"/>
  <c r="U42" i="39"/>
  <c r="U43" i="39"/>
  <c r="AB43" i="39"/>
  <c r="AA43" i="39"/>
  <c r="S43" i="39"/>
  <c r="AB34" i="39"/>
  <c r="U34" i="39"/>
  <c r="S34" i="39"/>
  <c r="W27" i="39"/>
  <c r="AC25" i="39"/>
  <c r="W25" i="39"/>
  <c r="AA19" i="39"/>
  <c r="W19" i="39"/>
  <c r="AC19" i="39"/>
  <c r="W21" i="39"/>
  <c r="AC21" i="39"/>
  <c r="G17" i="46"/>
  <c r="C16" i="46" s="1"/>
  <c r="M11" i="69"/>
  <c r="J10" i="69" s="1"/>
  <c r="F11" i="69"/>
  <c r="Z11" i="46"/>
  <c r="Z13" i="46" s="1"/>
  <c r="N104" i="45"/>
  <c r="AB11" i="46"/>
  <c r="AA11" i="46"/>
  <c r="AA13" i="46" s="1"/>
  <c r="E22" i="46"/>
  <c r="F22" i="46"/>
  <c r="AJ11" i="46"/>
  <c r="AJ13" i="46" s="1"/>
  <c r="AE11" i="46"/>
  <c r="AE13" i="46" s="1"/>
  <c r="AI11" i="46"/>
  <c r="AI13" i="46" s="1"/>
  <c r="AH11" i="46"/>
  <c r="AH13" i="46" s="1"/>
  <c r="AG11" i="46"/>
  <c r="AG13" i="46" s="1"/>
  <c r="K101" i="46"/>
  <c r="K107" i="46" s="1"/>
  <c r="E101" i="46"/>
  <c r="E104" i="46" s="1"/>
  <c r="L101" i="46"/>
  <c r="L102" i="46" s="1"/>
  <c r="B113" i="46"/>
  <c r="D118" i="46" s="1"/>
  <c r="E118" i="46" s="1"/>
  <c r="F118" i="46" s="1"/>
  <c r="M101" i="46"/>
  <c r="M107" i="46" s="1"/>
  <c r="G101" i="46"/>
  <c r="G104" i="46" s="1"/>
  <c r="AC11" i="46"/>
  <c r="AC13" i="46" s="1"/>
  <c r="G22" i="46"/>
  <c r="J101" i="46"/>
  <c r="J107" i="46" s="1"/>
  <c r="C101" i="46"/>
  <c r="C109" i="46" s="1"/>
  <c r="AD11" i="46"/>
  <c r="AD13" i="46" s="1"/>
  <c r="N101" i="46"/>
  <c r="N106" i="46" s="1"/>
  <c r="I101" i="46"/>
  <c r="I104" i="46" s="1"/>
  <c r="F101" i="46"/>
  <c r="F103" i="46" s="1"/>
  <c r="Y11" i="46"/>
  <c r="Y13" i="46" s="1"/>
  <c r="AY6" i="3"/>
  <c r="AY82" i="3" s="1"/>
  <c r="D101" i="46"/>
  <c r="D106" i="46" s="1"/>
  <c r="J22" i="46"/>
  <c r="H101" i="46"/>
  <c r="D10" i="11"/>
  <c r="F13" i="39"/>
  <c r="H13" i="39"/>
  <c r="J13" i="39"/>
  <c r="E52" i="21"/>
  <c r="F52" i="21" s="1"/>
  <c r="C6" i="15"/>
  <c r="F67" i="15"/>
  <c r="F50" i="15"/>
  <c r="F64" i="15"/>
  <c r="F63" i="15"/>
  <c r="Q72" i="15"/>
  <c r="L56" i="15"/>
  <c r="I54" i="15"/>
  <c r="J53" i="15"/>
  <c r="F1" i="15" s="1"/>
  <c r="J57" i="15"/>
  <c r="J55" i="15" s="1"/>
  <c r="J58" i="15" s="1"/>
  <c r="Q51" i="15" s="1"/>
  <c r="M7" i="15"/>
  <c r="F49" i="15"/>
  <c r="L59" i="15"/>
  <c r="Q75" i="15" s="1"/>
  <c r="L58" i="15"/>
  <c r="Q61" i="15" s="1"/>
  <c r="F70" i="15"/>
  <c r="F65" i="15"/>
  <c r="C27" i="15"/>
  <c r="D16" i="43"/>
  <c r="C16" i="43" s="1"/>
  <c r="E6" i="6"/>
  <c r="D45" i="9"/>
  <c r="L38" i="9"/>
  <c r="B14" i="66" s="1"/>
  <c r="B1" i="66" s="1"/>
  <c r="A25" i="64"/>
  <c r="A25" i="51"/>
  <c r="B18" i="63" s="1"/>
  <c r="C49" i="21"/>
  <c r="B3" i="21" s="1"/>
  <c r="B2" i="21" s="1"/>
  <c r="C48" i="21"/>
  <c r="B5" i="59"/>
  <c r="M106" i="46"/>
  <c r="J1" i="65"/>
  <c r="I1" i="65"/>
  <c r="E20" i="46"/>
  <c r="P28" i="46" s="1"/>
  <c r="C5" i="46"/>
  <c r="D102" i="46"/>
  <c r="D5" i="46"/>
  <c r="D104" i="46"/>
  <c r="D3" i="6"/>
  <c r="AY37" i="3"/>
  <c r="AY203" i="3"/>
  <c r="AY95" i="3"/>
  <c r="AY83" i="3"/>
  <c r="AY45" i="3"/>
  <c r="AY277" i="3"/>
  <c r="AY384" i="3"/>
  <c r="AY425" i="3"/>
  <c r="AY202"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E16" i="6"/>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M23" i="6" s="1"/>
  <c r="I23" i="6" s="1"/>
  <c r="S23" i="6" s="1"/>
  <c r="K25" i="6"/>
  <c r="M25" i="6" s="1"/>
  <c r="I25" i="6" s="1"/>
  <c r="S25" i="6" s="1"/>
  <c r="K21"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9" i="46"/>
  <c r="AB13" i="46"/>
  <c r="K106" i="46"/>
  <c r="E106" i="46"/>
  <c r="E105" i="46"/>
  <c r="E103" i="46"/>
  <c r="E107" i="46"/>
  <c r="L105" i="46"/>
  <c r="L107" i="46"/>
  <c r="I118" i="46"/>
  <c r="J118" i="46" s="1"/>
  <c r="K118" i="46" s="1"/>
  <c r="L118" i="46" s="1"/>
  <c r="M118" i="46" s="1"/>
  <c r="D117" i="46"/>
  <c r="E117" i="46" s="1"/>
  <c r="F117" i="46" s="1"/>
  <c r="G117" i="46" s="1"/>
  <c r="H117" i="46" s="1"/>
  <c r="G118" i="46"/>
  <c r="H118" i="46" s="1"/>
  <c r="G103" i="46"/>
  <c r="G106" i="46"/>
  <c r="G102" i="46"/>
  <c r="G105" i="46"/>
  <c r="G107" i="46"/>
  <c r="G109" i="46"/>
  <c r="J106" i="46"/>
  <c r="J105" i="46"/>
  <c r="C104" i="46"/>
  <c r="C107" i="46"/>
  <c r="C102" i="46"/>
  <c r="C106" i="46"/>
  <c r="C105" i="46"/>
  <c r="J109" i="46"/>
  <c r="C7" i="46"/>
  <c r="Q76" i="44"/>
  <c r="Q63" i="44"/>
  <c r="Q54" i="44"/>
  <c r="F1" i="44"/>
  <c r="F13" i="44"/>
  <c r="C12" i="44" s="1"/>
  <c r="C7" i="44" s="1"/>
  <c r="M11" i="15"/>
  <c r="J10" i="15" s="1"/>
  <c r="F11" i="15"/>
  <c r="M13" i="44"/>
  <c r="J12" i="44" s="1"/>
  <c r="J7" i="44" s="1"/>
  <c r="Q75" i="44"/>
  <c r="Q62" i="44"/>
  <c r="F31" i="15"/>
  <c r="M17" i="15"/>
  <c r="F58" i="15"/>
  <c r="AE7" i="1"/>
  <c r="C16" i="15"/>
  <c r="E3" i="65"/>
  <c r="E2" i="65"/>
  <c r="Q61" i="69" l="1"/>
  <c r="AY121" i="3"/>
  <c r="AY354" i="3"/>
  <c r="AY255" i="3"/>
  <c r="AY165" i="3"/>
  <c r="BG6" i="3"/>
  <c r="AY134" i="3"/>
  <c r="AY312" i="3"/>
  <c r="AY54" i="3"/>
  <c r="AY568" i="3"/>
  <c r="AY566" i="3"/>
  <c r="AY228" i="3"/>
  <c r="AY260" i="3"/>
  <c r="AY252" i="3"/>
  <c r="AY362" i="3"/>
  <c r="AY125" i="3"/>
  <c r="AY512" i="3"/>
  <c r="AY410" i="3"/>
  <c r="AY192" i="3"/>
  <c r="AY436" i="3"/>
  <c r="AY84" i="3"/>
  <c r="AY357" i="3"/>
  <c r="AY563" i="3"/>
  <c r="AY505" i="3"/>
  <c r="AY540" i="3"/>
  <c r="AY222" i="3"/>
  <c r="AY186" i="3"/>
  <c r="AY66" i="3"/>
  <c r="AY461" i="3"/>
  <c r="AY140" i="3"/>
  <c r="AY407" i="3"/>
  <c r="AY127" i="3"/>
  <c r="AY406" i="3"/>
  <c r="AY22" i="3"/>
  <c r="AY561" i="3"/>
  <c r="AY318" i="3"/>
  <c r="AY44" i="3"/>
  <c r="AY176" i="3"/>
  <c r="AY309" i="3"/>
  <c r="AY34" i="3"/>
  <c r="AY526" i="3"/>
  <c r="AY431" i="3"/>
  <c r="BH6" i="3"/>
  <c r="AY321" i="3"/>
  <c r="AY197" i="3"/>
  <c r="AY25" i="3"/>
  <c r="AY183" i="3"/>
  <c r="AY374" i="3"/>
  <c r="AY408" i="3"/>
  <c r="AY246" i="3"/>
  <c r="AY52" i="3"/>
  <c r="AY236" i="3"/>
  <c r="AY308" i="3"/>
  <c r="AY143" i="3"/>
  <c r="AY555" i="3"/>
  <c r="AY382" i="3"/>
  <c r="AY542" i="3"/>
  <c r="AY30" i="3"/>
  <c r="AY241" i="3"/>
  <c r="AY72" i="3"/>
  <c r="AY348" i="3"/>
  <c r="AY169" i="3"/>
  <c r="AY398" i="3"/>
  <c r="AY286" i="3"/>
  <c r="AY479" i="3"/>
  <c r="AY264" i="3"/>
  <c r="AY182" i="3"/>
  <c r="AY128" i="3"/>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B116" i="46"/>
  <c r="C116" i="46" s="1"/>
  <c r="I117" i="46"/>
  <c r="J117" i="46" s="1"/>
  <c r="K117" i="46" s="1"/>
  <c r="L117" i="46" s="1"/>
  <c r="M117" i="46" s="1"/>
  <c r="N51" i="59"/>
  <c r="N52" i="59"/>
  <c r="C22" i="59"/>
  <c r="D21" i="59"/>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49" i="3"/>
  <c r="AY69" i="3"/>
  <c r="AY26" i="3"/>
  <c r="AY129" i="3"/>
  <c r="AY529" i="3"/>
  <c r="AY104" i="3"/>
  <c r="AY53" i="3"/>
  <c r="AY98" i="3"/>
  <c r="AY106" i="3"/>
  <c r="AY217" i="3"/>
  <c r="AY383" i="3"/>
  <c r="AY361" i="3"/>
  <c r="AY422" i="3"/>
  <c r="AY146" i="3"/>
  <c r="AY50" i="3"/>
  <c r="AY492" i="3"/>
  <c r="AY88" i="3"/>
  <c r="AY74" i="3"/>
  <c r="AY291" i="3"/>
  <c r="AY427" i="3"/>
  <c r="AY170" i="3"/>
  <c r="N105" i="46"/>
  <c r="N107" i="46"/>
  <c r="N103" i="46"/>
  <c r="N102" i="46"/>
  <c r="I4" i="68"/>
  <c r="F4" i="68"/>
  <c r="F7" i="68"/>
  <c r="I7" i="68"/>
  <c r="B117" i="46"/>
  <c r="C117" i="46" s="1"/>
  <c r="B115" i="46"/>
  <c r="N104" i="46"/>
  <c r="AY508" i="3"/>
  <c r="BE6" i="3"/>
  <c r="AY521" i="3"/>
  <c r="AY570" i="3"/>
  <c r="AY196" i="3"/>
  <c r="AY261" i="3"/>
  <c r="AY444" i="3"/>
  <c r="AY460" i="3"/>
  <c r="AY451" i="3"/>
  <c r="AY488" i="3"/>
  <c r="AY18" i="3"/>
  <c r="AY423" i="3"/>
  <c r="BM6" i="3"/>
  <c r="AY205" i="3"/>
  <c r="AY421" i="3"/>
  <c r="AY313" i="3"/>
  <c r="AY56" i="3"/>
  <c r="AY387" i="3"/>
  <c r="AY113" i="3"/>
  <c r="AY276" i="3"/>
  <c r="AY133" i="3"/>
  <c r="AY68" i="3"/>
  <c r="AY17" i="3"/>
  <c r="AY484" i="3"/>
  <c r="AY390" i="3"/>
  <c r="BF6" i="3"/>
  <c r="AY325" i="3"/>
  <c r="AY519" i="3"/>
  <c r="AY527" i="3"/>
  <c r="AY552" i="3"/>
  <c r="AY498" i="3"/>
  <c r="AY303" i="3"/>
  <c r="AY562" i="3"/>
  <c r="AY162" i="3"/>
  <c r="AY147" i="3"/>
  <c r="AY288" i="3"/>
  <c r="AY356" i="3"/>
  <c r="AY392" i="3"/>
  <c r="AY218" i="3"/>
  <c r="AY42" i="3"/>
  <c r="AY428" i="3"/>
  <c r="AY86" i="3"/>
  <c r="AY465" i="3"/>
  <c r="AY76" i="3"/>
  <c r="AY341" i="3"/>
  <c r="AY337" i="3"/>
  <c r="AY123" i="3"/>
  <c r="AY117" i="3"/>
  <c r="AY333" i="3"/>
  <c r="AY36" i="3"/>
  <c r="AY516" i="3"/>
  <c r="AY528" i="3"/>
  <c r="AY157" i="3"/>
  <c r="AY188" i="3"/>
  <c r="AY420" i="3"/>
  <c r="AY132" i="3"/>
  <c r="AY230" i="3"/>
  <c r="AY435" i="3"/>
  <c r="AY115" i="3"/>
  <c r="BK6" i="3"/>
  <c r="AY238" i="3"/>
  <c r="AY70" i="3"/>
  <c r="AY364" i="3"/>
  <c r="AY139" i="3"/>
  <c r="AY467" i="3"/>
  <c r="AY175" i="3"/>
  <c r="AY504" i="3"/>
  <c r="AY41" i="3"/>
  <c r="H102" i="46"/>
  <c r="H109" i="46"/>
  <c r="H107" i="46"/>
  <c r="H106" i="46"/>
  <c r="D50" i="59"/>
  <c r="T50" i="59"/>
  <c r="D38" i="59"/>
  <c r="T38" i="59"/>
  <c r="I3" i="68"/>
  <c r="F3" i="68"/>
  <c r="D8" i="59"/>
  <c r="C7" i="59"/>
  <c r="D22" i="46"/>
  <c r="C18" i="59"/>
  <c r="D17" i="59"/>
  <c r="D46" i="59"/>
  <c r="T46" i="59"/>
  <c r="D13" i="59"/>
  <c r="C12" i="59"/>
  <c r="D12" i="59" s="1"/>
  <c r="F5" i="59"/>
  <c r="V6" i="59"/>
  <c r="I5" i="68"/>
  <c r="I8" i="68" s="1"/>
  <c r="H8" i="68" s="1"/>
  <c r="F5" i="68"/>
  <c r="E109" i="46"/>
  <c r="C103" i="46"/>
  <c r="E102" i="46"/>
  <c r="D105" i="46"/>
  <c r="D16" i="12"/>
  <c r="D19" i="12" s="1"/>
  <c r="C19" i="12" s="1"/>
  <c r="C21" i="4"/>
  <c r="O5" i="54" s="1"/>
  <c r="B45" i="63" s="1"/>
  <c r="K6" i="1"/>
  <c r="AP16" i="1" s="1"/>
  <c r="F22" i="11" s="1"/>
  <c r="C9" i="12"/>
  <c r="T30" i="59"/>
  <c r="D30" i="59"/>
  <c r="F8" i="68"/>
  <c r="E8" i="68" s="1"/>
  <c r="F6" i="68"/>
  <c r="I6" i="68"/>
  <c r="J104" i="46"/>
  <c r="K109" i="46"/>
  <c r="L106" i="46"/>
  <c r="K105" i="46"/>
  <c r="K103" i="46"/>
  <c r="I105" i="46"/>
  <c r="I109" i="46"/>
  <c r="Q53" i="69"/>
  <c r="F1" i="69"/>
  <c r="Q75" i="69"/>
  <c r="Q62" i="69"/>
  <c r="Q67" i="69"/>
  <c r="Q58" i="69"/>
  <c r="F70" i="39"/>
  <c r="E72" i="39"/>
  <c r="Q53" i="15"/>
  <c r="C52" i="69"/>
  <c r="Q62" i="15"/>
  <c r="J103" i="46"/>
  <c r="J102" i="46"/>
  <c r="L103" i="46"/>
  <c r="L109" i="46"/>
  <c r="C23" i="46" s="1"/>
  <c r="C21" i="46" s="1"/>
  <c r="L104" i="46"/>
  <c r="K104" i="46"/>
  <c r="K102" i="46"/>
  <c r="I107" i="46"/>
  <c r="I103" i="46"/>
  <c r="M105" i="46"/>
  <c r="M102" i="46"/>
  <c r="M104" i="46"/>
  <c r="M109" i="46"/>
  <c r="F102" i="46"/>
  <c r="M22" i="6"/>
  <c r="I22" i="6" s="1"/>
  <c r="S22" i="6" s="1"/>
  <c r="S9" i="1"/>
  <c r="M21" i="6"/>
  <c r="I21" i="6" s="1"/>
  <c r="S21" i="6" s="1"/>
  <c r="S8" i="1"/>
  <c r="M103" i="46"/>
  <c r="F109" i="46"/>
  <c r="D109" i="46"/>
  <c r="H104" i="46"/>
  <c r="D103" i="46"/>
  <c r="H105" i="46"/>
  <c r="D107" i="46"/>
  <c r="F106" i="46"/>
  <c r="F107" i="46"/>
  <c r="F104" i="46"/>
  <c r="F105" i="46"/>
  <c r="I102" i="46"/>
  <c r="I106" i="46"/>
  <c r="H103" i="46"/>
  <c r="C48" i="15"/>
  <c r="AC13" i="39"/>
  <c r="W13" i="39"/>
  <c r="S13" i="39"/>
  <c r="AA13" i="39"/>
  <c r="M20" i="6"/>
  <c r="I20" i="6" s="1"/>
  <c r="S20" i="6" s="1"/>
  <c r="S7" i="1"/>
  <c r="AB13" i="39"/>
  <c r="U13" i="39"/>
  <c r="Q74" i="15"/>
  <c r="O28" i="46"/>
  <c r="G20" i="46" s="1"/>
  <c r="E41" i="46" s="1"/>
  <c r="C41" i="46" s="1"/>
  <c r="J6" i="15"/>
  <c r="J5" i="15" s="1"/>
  <c r="D22" i="12"/>
  <c r="C22" i="12" s="1"/>
  <c r="C20" i="12" s="1"/>
  <c r="D13" i="11"/>
  <c r="C13" i="11" s="1"/>
  <c r="C7" i="66"/>
  <c r="M28" i="46"/>
  <c r="N28" i="46"/>
  <c r="B40" i="1"/>
  <c r="F17" i="11"/>
  <c r="C17" i="11" s="1"/>
  <c r="S5" i="46"/>
  <c r="S2" i="46"/>
  <c r="S3" i="46"/>
  <c r="S7" i="46"/>
  <c r="S6" i="46"/>
  <c r="S4" i="46"/>
  <c r="K16" i="1"/>
  <c r="M14" i="1"/>
  <c r="M19" i="6"/>
  <c r="K27" i="6"/>
  <c r="E63" i="40"/>
  <c r="C22" i="4"/>
  <c r="C40" i="39" s="1"/>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10" i="15"/>
  <c r="C5" i="15" s="1"/>
  <c r="C17" i="15"/>
  <c r="M29" i="69"/>
  <c r="F43" i="69"/>
  <c r="L52" i="44"/>
  <c r="F7" i="69"/>
  <c r="F41" i="15"/>
  <c r="AE6" i="1"/>
  <c r="C16" i="12" l="1"/>
  <c r="F70" i="69"/>
  <c r="M7" i="69"/>
  <c r="J6" i="69" s="1"/>
  <c r="J5" i="69" s="1"/>
  <c r="F49" i="69"/>
  <c r="C48" i="69" s="1"/>
  <c r="C47" i="69" s="1"/>
  <c r="C6" i="69"/>
  <c r="C10" i="69" s="1"/>
  <c r="C5" i="69" s="1"/>
  <c r="C33" i="69" s="1"/>
  <c r="T18" i="59"/>
  <c r="D18" i="59"/>
  <c r="C20" i="46"/>
  <c r="M6" i="1"/>
  <c r="Q16" i="1"/>
  <c r="H16" i="1"/>
  <c r="T22" i="59"/>
  <c r="D22" i="59"/>
  <c r="C6" i="59"/>
  <c r="D7" i="59"/>
  <c r="G16" i="1"/>
  <c r="F72" i="39"/>
  <c r="G70" i="39"/>
  <c r="F24" i="15"/>
  <c r="C24" i="15" s="1"/>
  <c r="F24" i="69"/>
  <c r="S16" i="1"/>
  <c r="T13" i="1" s="1"/>
  <c r="C47" i="15"/>
  <c r="C59" i="15" s="1"/>
  <c r="F40" i="39"/>
  <c r="H40" i="39"/>
  <c r="J40" i="39"/>
  <c r="F7" i="36"/>
  <c r="S7" i="36" s="1"/>
  <c r="F68" i="15"/>
  <c r="F21" i="43"/>
  <c r="C23" i="43" s="1"/>
  <c r="D21" i="43" s="1"/>
  <c r="J24" i="15"/>
  <c r="J18" i="15"/>
  <c r="J26" i="15"/>
  <c r="J29" i="15" s="1"/>
  <c r="R26" i="6"/>
  <c r="F26" i="12"/>
  <c r="C27" i="12" s="1"/>
  <c r="D26" i="12" s="1"/>
  <c r="C32" i="12" s="1"/>
  <c r="D30" i="12" s="1"/>
  <c r="F26" i="44"/>
  <c r="C26" i="44" s="1"/>
  <c r="R24" i="6"/>
  <c r="D16" i="6"/>
  <c r="D30" i="6"/>
  <c r="R22" i="6"/>
  <c r="R9" i="1" s="1"/>
  <c r="R23" i="6"/>
  <c r="R25" i="6"/>
  <c r="D27" i="6"/>
  <c r="I19" i="6"/>
  <c r="M27" i="6"/>
  <c r="D7" i="66"/>
  <c r="R20" i="6"/>
  <c r="R7" i="1" s="1"/>
  <c r="R21" i="6"/>
  <c r="R8" i="1" s="1"/>
  <c r="A6" i="51"/>
  <c r="B7" i="63" s="1"/>
  <c r="A6" i="64"/>
  <c r="A20" i="64"/>
  <c r="A20" i="51"/>
  <c r="B15" i="63" s="1"/>
  <c r="N5" i="54"/>
  <c r="B43" i="63" s="1"/>
  <c r="M16" i="1"/>
  <c r="T11" i="1"/>
  <c r="O14" i="1"/>
  <c r="T10" i="1"/>
  <c r="AA7" i="36"/>
  <c r="R36" i="36" s="1"/>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Q49" i="44"/>
  <c r="Q55" i="44" s="1"/>
  <c r="Q67" i="44"/>
  <c r="Q58" i="44"/>
  <c r="C16" i="69"/>
  <c r="C17" i="69"/>
  <c r="F41" i="69"/>
  <c r="C38" i="69" l="1"/>
  <c r="C60" i="69"/>
  <c r="C59" i="69"/>
  <c r="C65" i="69"/>
  <c r="C32" i="69"/>
  <c r="T6" i="59"/>
  <c r="D6" i="59"/>
  <c r="M20" i="46" s="1"/>
  <c r="C19" i="46" s="1"/>
  <c r="C5" i="59"/>
  <c r="D5" i="59" s="1"/>
  <c r="F33" i="12"/>
  <c r="C34" i="12" s="1"/>
  <c r="D33" i="12" s="1"/>
  <c r="F24" i="43"/>
  <c r="C26" i="43" s="1"/>
  <c r="D24" i="43" s="1"/>
  <c r="F18" i="11"/>
  <c r="C18" i="11" s="1"/>
  <c r="C19" i="11" s="1"/>
  <c r="C20" i="11" s="1"/>
  <c r="C21" i="11" s="1"/>
  <c r="C22" i="11" s="1"/>
  <c r="C23" i="11" s="1"/>
  <c r="B2" i="11" s="1"/>
  <c r="O6" i="1"/>
  <c r="P6" i="1" s="1"/>
  <c r="J26" i="69"/>
  <c r="J29" i="69" s="1"/>
  <c r="J24" i="69"/>
  <c r="J18" i="69"/>
  <c r="J12" i="40"/>
  <c r="H12" i="40"/>
  <c r="F12" i="40"/>
  <c r="H12" i="39"/>
  <c r="F12" i="39"/>
  <c r="J12" i="39"/>
  <c r="F68" i="69"/>
  <c r="G72" i="39"/>
  <c r="H70" i="39"/>
  <c r="C24" i="69"/>
  <c r="T8" i="1"/>
  <c r="T6" i="1"/>
  <c r="T7" i="1"/>
  <c r="T12" i="1"/>
  <c r="T9" i="1"/>
  <c r="C65" i="15"/>
  <c r="AB40" i="39"/>
  <c r="U40" i="39"/>
  <c r="AC40" i="39"/>
  <c r="W40" i="39"/>
  <c r="AA40" i="39"/>
  <c r="S40" i="39"/>
  <c r="P14" i="1"/>
  <c r="P16" i="1" s="1"/>
  <c r="C13" i="12" s="1"/>
  <c r="C14" i="12" s="1"/>
  <c r="D31" i="6"/>
  <c r="I6" i="6" s="1"/>
  <c r="I27" i="6"/>
  <c r="S19" i="6"/>
  <c r="S27" i="6" s="1"/>
  <c r="H19" i="6"/>
  <c r="L16" i="1"/>
  <c r="C13" i="43"/>
  <c r="N16" i="1"/>
  <c r="C29" i="43" s="1"/>
  <c r="W7" i="36"/>
  <c r="AC7" i="36"/>
  <c r="V36" i="36" s="1"/>
  <c r="I36" i="36" s="1"/>
  <c r="K65" i="40"/>
  <c r="J67" i="40"/>
  <c r="I52" i="37"/>
  <c r="G54" i="34"/>
  <c r="H54" i="34" s="1"/>
  <c r="G53" i="34"/>
  <c r="H53" i="34" s="1"/>
  <c r="R50" i="34"/>
  <c r="E49" i="34"/>
  <c r="I54" i="34" s="1"/>
  <c r="J54" i="34" s="1"/>
  <c r="I53" i="34"/>
  <c r="J53" i="34" s="1"/>
  <c r="AB7" i="36"/>
  <c r="T36" i="36" s="1"/>
  <c r="G36" i="36" s="1"/>
  <c r="U7" i="36"/>
  <c r="I48" i="35"/>
  <c r="E36" i="36"/>
  <c r="R37" i="36"/>
  <c r="Q68" i="44"/>
  <c r="Q77" i="44" s="1"/>
  <c r="Q59" i="44"/>
  <c r="Q64" i="44" s="1"/>
  <c r="C14" i="69"/>
  <c r="C16" i="44"/>
  <c r="C14" i="15"/>
  <c r="C18" i="69" l="1"/>
  <c r="C15" i="69"/>
  <c r="AA12" i="39"/>
  <c r="S12" i="39"/>
  <c r="W12" i="40"/>
  <c r="AC12" i="40"/>
  <c r="C33" i="46"/>
  <c r="C37" i="46"/>
  <c r="T7" i="46"/>
  <c r="V7" i="46" s="1"/>
  <c r="T2" i="46"/>
  <c r="V2" i="46" s="1"/>
  <c r="C36" i="46"/>
  <c r="T3" i="46"/>
  <c r="V3" i="46" s="1"/>
  <c r="C35" i="46"/>
  <c r="T14" i="46"/>
  <c r="V14" i="46" s="1"/>
  <c r="T13" i="46"/>
  <c r="V13" i="46" s="1"/>
  <c r="C39" i="46"/>
  <c r="T5" i="46"/>
  <c r="V5" i="46" s="1"/>
  <c r="T9" i="46"/>
  <c r="V9" i="46" s="1"/>
  <c r="C29" i="46"/>
  <c r="T11" i="46"/>
  <c r="V11" i="46" s="1"/>
  <c r="T16" i="46"/>
  <c r="V16" i="46" s="1"/>
  <c r="T12" i="46"/>
  <c r="V12" i="46" s="1"/>
  <c r="T10" i="46"/>
  <c r="V10" i="46" s="1"/>
  <c r="T4" i="46"/>
  <c r="V4" i="46" s="1"/>
  <c r="T6" i="46"/>
  <c r="V6" i="46" s="1"/>
  <c r="C38" i="46"/>
  <c r="T15" i="46"/>
  <c r="V15" i="46" s="1"/>
  <c r="T8" i="46"/>
  <c r="V8" i="46" s="1"/>
  <c r="U12" i="39"/>
  <c r="AB12" i="39"/>
  <c r="C34" i="46"/>
  <c r="S12" i="40"/>
  <c r="AA12" i="40"/>
  <c r="B5" i="11"/>
  <c r="B3" i="11"/>
  <c r="B4" i="11"/>
  <c r="AC12" i="39"/>
  <c r="W12" i="39"/>
  <c r="AB12" i="40"/>
  <c r="U12" i="40"/>
  <c r="O16" i="1"/>
  <c r="I70" i="39"/>
  <c r="H72" i="39"/>
  <c r="T16" i="1"/>
  <c r="C17" i="44"/>
  <c r="C20" i="44"/>
  <c r="C15" i="15"/>
  <c r="C18" i="15"/>
  <c r="C17" i="12"/>
  <c r="C18" i="12" s="1"/>
  <c r="I5" i="6"/>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23" i="12" l="1"/>
  <c r="C109" i="9"/>
  <c r="C110" i="9" s="1"/>
  <c r="C19" i="69"/>
  <c r="C20" i="69" s="1"/>
  <c r="C26" i="69" s="1"/>
  <c r="E34" i="46"/>
  <c r="G34" i="46"/>
  <c r="I34" i="46" s="1"/>
  <c r="E29" i="46"/>
  <c r="C30" i="46"/>
  <c r="E30" i="46" s="1"/>
  <c r="E36" i="46"/>
  <c r="G36" i="46"/>
  <c r="I36" i="46" s="1"/>
  <c r="E33" i="46"/>
  <c r="G33" i="46"/>
  <c r="I33" i="46" s="1"/>
  <c r="E38" i="46"/>
  <c r="G38" i="46"/>
  <c r="I38" i="46" s="1"/>
  <c r="E35" i="46"/>
  <c r="G35" i="46"/>
  <c r="I35" i="46" s="1"/>
  <c r="G39" i="46"/>
  <c r="I39" i="46" s="1"/>
  <c r="E39" i="46"/>
  <c r="G37" i="46"/>
  <c r="I37" i="46" s="1"/>
  <c r="E37" i="46"/>
  <c r="J70" i="39"/>
  <c r="I72" i="39"/>
  <c r="C21" i="44"/>
  <c r="C22" i="44" s="1"/>
  <c r="C25" i="44" s="1"/>
  <c r="C19" i="15"/>
  <c r="C20" i="15" s="1"/>
  <c r="C26" i="15" s="1"/>
  <c r="R27" i="6"/>
  <c r="R6" i="1"/>
  <c r="C18" i="43"/>
  <c r="C19" i="43" s="1"/>
  <c r="C25" i="43" s="1"/>
  <c r="C24" i="43" s="1"/>
  <c r="L67" i="40"/>
  <c r="M65" i="40"/>
  <c r="K48" i="35"/>
  <c r="L48" i="35" s="1"/>
  <c r="M48" i="35" s="1"/>
  <c r="N48" i="35" s="1"/>
  <c r="O48" i="35" s="1"/>
  <c r="K52" i="37"/>
  <c r="F35" i="69"/>
  <c r="M21" i="69"/>
  <c r="F35" i="15"/>
  <c r="F7" i="67"/>
  <c r="M21" i="15"/>
  <c r="C23" i="69" l="1"/>
  <c r="C29" i="69" s="1"/>
  <c r="C36" i="69" s="1"/>
  <c r="F62" i="69"/>
  <c r="C61" i="69" s="1"/>
  <c r="C58" i="69" s="1"/>
  <c r="C34" i="69"/>
  <c r="C31" i="69" s="1"/>
  <c r="J20" i="69"/>
  <c r="E4" i="67"/>
  <c r="C27" i="46"/>
  <c r="C26" i="46"/>
  <c r="J72" i="39"/>
  <c r="K70" i="39"/>
  <c r="C28" i="44"/>
  <c r="C31" i="44" s="1"/>
  <c r="J21" i="44" s="1"/>
  <c r="J19" i="44" s="1"/>
  <c r="C23" i="15"/>
  <c r="C29" i="15" s="1"/>
  <c r="C36" i="15" s="1"/>
  <c r="J20" i="15"/>
  <c r="F62" i="15"/>
  <c r="C61" i="15" s="1"/>
  <c r="C34" i="15"/>
  <c r="R16" i="1"/>
  <c r="J7" i="35"/>
  <c r="AC7" i="35" s="1"/>
  <c r="V38" i="35" s="1"/>
  <c r="I38" i="35" s="1"/>
  <c r="J59" i="15"/>
  <c r="J60" i="15" s="1"/>
  <c r="Q49" i="15" s="1"/>
  <c r="C33" i="15"/>
  <c r="C22" i="43"/>
  <c r="C21" i="43" s="1"/>
  <c r="C28" i="43" s="1"/>
  <c r="C30" i="43" s="1"/>
  <c r="C32" i="43" s="1"/>
  <c r="B2" i="43" s="1"/>
  <c r="N65" i="40"/>
  <c r="N67" i="40" s="1"/>
  <c r="M67" i="40"/>
  <c r="L52" i="37"/>
  <c r="F7" i="35"/>
  <c r="H7" i="35"/>
  <c r="E7" i="67"/>
  <c r="J14" i="69" l="1"/>
  <c r="J22" i="69" s="1"/>
  <c r="C56" i="69"/>
  <c r="C63" i="69" s="1"/>
  <c r="Q50" i="69"/>
  <c r="J19" i="69"/>
  <c r="J17" i="69" s="1"/>
  <c r="C13" i="69"/>
  <c r="C55" i="69" s="1"/>
  <c r="C64" i="69" s="1"/>
  <c r="E3" i="67"/>
  <c r="B2" i="46"/>
  <c r="K72" i="39"/>
  <c r="L70" i="39"/>
  <c r="Q51" i="44"/>
  <c r="Q50" i="15"/>
  <c r="C15" i="44"/>
  <c r="Q72" i="44" s="1"/>
  <c r="C35" i="44"/>
  <c r="C33" i="44" s="1"/>
  <c r="J16" i="44"/>
  <c r="J15" i="44" s="1"/>
  <c r="J25" i="44" s="1"/>
  <c r="C38" i="44"/>
  <c r="J14" i="15"/>
  <c r="J13" i="15" s="1"/>
  <c r="J23" i="15" s="1"/>
  <c r="J19" i="15"/>
  <c r="J17" i="15" s="1"/>
  <c r="C56" i="15"/>
  <c r="C60" i="15" s="1"/>
  <c r="C58" i="15" s="1"/>
  <c r="C13" i="15"/>
  <c r="J35" i="15" s="1"/>
  <c r="C31" i="15"/>
  <c r="W7" i="35"/>
  <c r="B4" i="43"/>
  <c r="B5" i="43"/>
  <c r="B3" i="43"/>
  <c r="AB7" i="35"/>
  <c r="T38" i="35" s="1"/>
  <c r="G38" i="35" s="1"/>
  <c r="U7" i="35"/>
  <c r="AA7" i="35"/>
  <c r="R38" i="35" s="1"/>
  <c r="S7" i="35"/>
  <c r="M52" i="37"/>
  <c r="J9" i="40"/>
  <c r="F9" i="40"/>
  <c r="H9" i="40"/>
  <c r="I42" i="35"/>
  <c r="J42" i="35" s="1"/>
  <c r="B7" i="67"/>
  <c r="C57" i="69" l="1"/>
  <c r="C66" i="69" s="1"/>
  <c r="C67" i="69" s="1"/>
  <c r="C70" i="69" s="1"/>
  <c r="J13" i="69"/>
  <c r="J23" i="69" s="1"/>
  <c r="J16" i="69" s="1"/>
  <c r="J25" i="69" s="1"/>
  <c r="C37" i="69"/>
  <c r="C30" i="69" s="1"/>
  <c r="C39" i="69" s="1"/>
  <c r="Q71" i="69"/>
  <c r="J35" i="69"/>
  <c r="B2" i="67"/>
  <c r="D4" i="46"/>
  <c r="B3" i="46"/>
  <c r="B4" i="46"/>
  <c r="M70" i="39"/>
  <c r="L72" i="39"/>
  <c r="Q71" i="15"/>
  <c r="C63" i="15"/>
  <c r="J22" i="15"/>
  <c r="J16" i="15" s="1"/>
  <c r="J25" i="15" s="1"/>
  <c r="J24" i="44"/>
  <c r="J18" i="44" s="1"/>
  <c r="J27" i="44" s="1"/>
  <c r="C39" i="44"/>
  <c r="C32" i="44" s="1"/>
  <c r="C42" i="44" s="1"/>
  <c r="Q71" i="44" s="1"/>
  <c r="Q70" i="44" s="1"/>
  <c r="C43" i="44"/>
  <c r="C37" i="15"/>
  <c r="C30" i="15" s="1"/>
  <c r="C39" i="15" s="1"/>
  <c r="C40" i="15" s="1"/>
  <c r="C43" i="15" s="1"/>
  <c r="C55" i="15"/>
  <c r="C64" i="15" s="1"/>
  <c r="L57" i="15"/>
  <c r="L60" i="15" s="1"/>
  <c r="Q58" i="15" s="1"/>
  <c r="S9" i="40"/>
  <c r="AA9" i="40"/>
  <c r="R44" i="40" s="1"/>
  <c r="U9" i="40"/>
  <c r="AB9" i="40"/>
  <c r="T44" i="40" s="1"/>
  <c r="G44" i="40" s="1"/>
  <c r="W9" i="40"/>
  <c r="AC9" i="40"/>
  <c r="V44" i="40" s="1"/>
  <c r="I44" i="40" s="1"/>
  <c r="N52" i="37"/>
  <c r="O52" i="37" s="1"/>
  <c r="F7" i="37"/>
  <c r="R39" i="35"/>
  <c r="E38" i="35"/>
  <c r="G42" i="35"/>
  <c r="H42" i="35" s="1"/>
  <c r="G43" i="35"/>
  <c r="H43" i="35" s="1"/>
  <c r="L51" i="69"/>
  <c r="Q68" i="69" l="1"/>
  <c r="J39" i="69"/>
  <c r="J40" i="69" s="1"/>
  <c r="C40" i="69"/>
  <c r="Q70" i="69"/>
  <c r="Q69" i="69" s="1"/>
  <c r="B4" i="67"/>
  <c r="B3" i="67"/>
  <c r="H9" i="39"/>
  <c r="M72" i="39"/>
  <c r="J9" i="39" s="1"/>
  <c r="N70" i="39"/>
  <c r="N72" i="39" s="1"/>
  <c r="C57" i="15"/>
  <c r="C66" i="15" s="1"/>
  <c r="C67" i="15" s="1"/>
  <c r="C70" i="15" s="1"/>
  <c r="C44" i="44"/>
  <c r="C45" i="44" s="1"/>
  <c r="B2" i="44" s="1"/>
  <c r="B5" i="44" s="1"/>
  <c r="Q48" i="15"/>
  <c r="Q54" i="15" s="1"/>
  <c r="J39" i="15"/>
  <c r="J40" i="15" s="1"/>
  <c r="Q66" i="15"/>
  <c r="J42" i="15"/>
  <c r="J43" i="15" s="1"/>
  <c r="Q57" i="15"/>
  <c r="Q63" i="15" s="1"/>
  <c r="Q70" i="15"/>
  <c r="Q69" i="15" s="1"/>
  <c r="Q67" i="15"/>
  <c r="L46" i="15"/>
  <c r="B2" i="15" s="1"/>
  <c r="D10" i="12" s="1"/>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Q48" i="69" l="1"/>
  <c r="Q54" i="69" s="1"/>
  <c r="C46" i="69"/>
  <c r="C43" i="69"/>
  <c r="Q57" i="69"/>
  <c r="Q63" i="69" s="1"/>
  <c r="J42" i="69"/>
  <c r="J43" i="69" s="1"/>
  <c r="Q66" i="69"/>
  <c r="Q76" i="69" s="1"/>
  <c r="B2" i="69"/>
  <c r="Q68" i="15"/>
  <c r="AC9" i="39"/>
  <c r="V49" i="39" s="1"/>
  <c r="I49" i="39" s="1"/>
  <c r="I53" i="39" s="1"/>
  <c r="J53" i="39" s="1"/>
  <c r="W9" i="39"/>
  <c r="F9" i="39"/>
  <c r="U9" i="39"/>
  <c r="AB9" i="39"/>
  <c r="T49" i="39" s="1"/>
  <c r="G49" i="39" s="1"/>
  <c r="C46" i="15"/>
  <c r="B3" i="44"/>
  <c r="B4" i="44"/>
  <c r="Q76" i="15"/>
  <c r="B3" i="15"/>
  <c r="D8" i="12" s="1"/>
  <c r="W7" i="37"/>
  <c r="AC7" i="37"/>
  <c r="V42" i="37" s="1"/>
  <c r="I42" i="37" s="1"/>
  <c r="C45" i="40"/>
  <c r="C44" i="40"/>
  <c r="AB7" i="37"/>
  <c r="T42" i="37" s="1"/>
  <c r="G42" i="37" s="1"/>
  <c r="U7" i="37"/>
  <c r="E48" i="40"/>
  <c r="F48" i="40" s="1"/>
  <c r="E49" i="40"/>
  <c r="F49" i="40" s="1"/>
  <c r="E42" i="37"/>
  <c r="R43" i="37"/>
  <c r="B3" i="69" l="1"/>
  <c r="C8" i="12" s="1"/>
  <c r="C10" i="12"/>
  <c r="C6" i="12" s="1"/>
  <c r="C24" i="12" s="1"/>
  <c r="AA9" i="39"/>
  <c r="R49" i="39" s="1"/>
  <c r="S9" i="39"/>
  <c r="G53" i="39"/>
  <c r="H53" i="39" s="1"/>
  <c r="G54" i="39"/>
  <c r="H54"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9" i="12" l="1"/>
  <c r="R50" i="39"/>
  <c r="E49" i="39"/>
  <c r="C35" i="12"/>
  <c r="C33" i="12" s="1"/>
  <c r="C28" i="12"/>
  <c r="C26" i="12" s="1"/>
  <c r="B5" i="40"/>
  <c r="B4" i="40"/>
  <c r="B3" i="40"/>
  <c r="C31" i="12" l="1"/>
  <c r="C30" i="12" s="1"/>
  <c r="C36" i="12" s="1"/>
  <c r="B2" i="12" s="1"/>
  <c r="B4" i="12" s="1"/>
  <c r="I54" i="39"/>
  <c r="J54" i="39" s="1"/>
  <c r="E53" i="39"/>
  <c r="F53" i="39" s="1"/>
  <c r="E54" i="39"/>
  <c r="F54" i="39" s="1"/>
  <c r="C50" i="39"/>
  <c r="C49" i="39"/>
  <c r="D19" i="9"/>
  <c r="D21" i="9"/>
  <c r="B61" i="39" l="1"/>
  <c r="F61" i="39" s="1"/>
  <c r="B67" i="39"/>
  <c r="F67" i="39" s="1"/>
  <c r="B58" i="39"/>
  <c r="F58" i="39" s="1"/>
  <c r="B64" i="39"/>
  <c r="F64" i="39" s="1"/>
  <c r="B60" i="39"/>
  <c r="F60" i="39" s="1"/>
  <c r="B59" i="39"/>
  <c r="F59" i="39" s="1"/>
  <c r="B66" i="39"/>
  <c r="F66" i="39" s="1"/>
  <c r="B62" i="39"/>
  <c r="F62" i="39" s="1"/>
  <c r="B65" i="39"/>
  <c r="F65" i="39" s="1"/>
  <c r="B63" i="39"/>
  <c r="F63" i="39" s="1"/>
  <c r="B3" i="12"/>
  <c r="B5" i="12"/>
  <c r="L44" i="9"/>
  <c r="D20" i="9"/>
  <c r="F68" i="39" l="1"/>
  <c r="B2" i="39" s="1"/>
  <c r="C19" i="9"/>
  <c r="L43" i="9" l="1"/>
  <c r="G19" i="9"/>
  <c r="D28" i="9" s="1"/>
  <c r="D22" i="9"/>
  <c r="B3" i="39"/>
  <c r="B5" i="39"/>
  <c r="B4" i="39"/>
  <c r="C21" i="9"/>
  <c r="C20" i="9"/>
  <c r="G21" i="9" l="1"/>
  <c r="G20" i="9"/>
  <c r="D27" i="9"/>
  <c r="C32" i="9"/>
  <c r="G22" i="9"/>
  <c r="N43" i="9"/>
  <c r="C42" i="9" l="1"/>
  <c r="C35" i="9"/>
  <c r="F42" i="9" s="1"/>
  <c r="O43" i="9"/>
  <c r="C34" i="9"/>
  <c r="O38" i="9"/>
  <c r="C33" i="9"/>
  <c r="D42" i="9" l="1"/>
  <c r="Q5" i="54" s="1"/>
  <c r="B47" i="63" s="1"/>
  <c r="N38" i="9"/>
  <c r="K28" i="9" s="1"/>
  <c r="M38" i="9"/>
  <c r="K27" i="9" s="1"/>
  <c r="E42" i="9"/>
  <c r="P5" i="54" s="1"/>
  <c r="B46" i="63" s="1"/>
  <c r="K25" i="9"/>
  <c r="K26" i="9"/>
  <c r="C44" i="9"/>
  <c r="R5" i="54"/>
  <c r="B48" i="63" s="1"/>
  <c r="D63" i="9"/>
  <c r="D73" i="9" s="1"/>
  <c r="N73" i="9" s="1"/>
  <c r="N68" i="9"/>
  <c r="D14" i="66"/>
  <c r="F14" i="66" l="1"/>
  <c r="E14" i="66"/>
  <c r="B5" i="66"/>
  <c r="D70" i="9"/>
  <c r="C90" i="9"/>
  <c r="C103" i="9"/>
  <c r="C96" i="9"/>
  <c r="C91" i="9" s="1"/>
  <c r="D71" i="9"/>
  <c r="D66" i="9" s="1"/>
  <c r="N72" i="9" s="1"/>
  <c r="D77" i="9"/>
  <c r="N75" i="9" s="1"/>
  <c r="C111" i="9"/>
  <c r="C104" i="9" s="1"/>
  <c r="C82" i="9"/>
  <c r="C81" i="9" s="1"/>
  <c r="C85" i="9" s="1"/>
  <c r="C86" i="9" s="1"/>
  <c r="D72" i="9" s="1"/>
  <c r="G14" i="66"/>
  <c r="B6" i="66" s="1"/>
  <c r="O39" i="9"/>
  <c r="E44" i="9"/>
  <c r="D44" i="9"/>
  <c r="F44" i="9"/>
  <c r="N69" i="9"/>
  <c r="M86" i="9" l="1"/>
  <c r="N86" i="9" s="1"/>
  <c r="M85" i="9"/>
  <c r="N85" i="9" s="1"/>
  <c r="M87" i="9"/>
  <c r="N87" i="9" s="1"/>
  <c r="M88" i="9"/>
  <c r="N88" i="9" s="1"/>
  <c r="M84" i="9"/>
  <c r="N84" i="9" s="1"/>
  <c r="M83" i="9"/>
  <c r="N83" i="9" s="1"/>
  <c r="R6" i="54"/>
  <c r="B50" i="63" s="1"/>
  <c r="K29" i="9"/>
  <c r="K30" i="9" s="1"/>
  <c r="D6" i="66"/>
  <c r="C6" i="66"/>
  <c r="C113" i="9"/>
  <c r="C97" i="9"/>
  <c r="D5" i="66"/>
  <c r="C5" i="66"/>
  <c r="N89" i="9" l="1"/>
  <c r="O89" i="9" s="1"/>
  <c r="C98" i="9"/>
  <c r="E98" i="9" s="1"/>
  <c r="E99" i="9" s="1"/>
  <c r="C114" i="9"/>
  <c r="E114" i="9" s="1"/>
  <c r="E115" i="9" s="1"/>
  <c r="C99" i="9" l="1"/>
  <c r="C115" i="9"/>
  <c r="D76" i="9" s="1"/>
  <c r="D74" i="9" s="1"/>
  <c r="N74" i="9" s="1"/>
  <c r="O77" i="9" s="1"/>
  <c r="Q77" i="9" s="1"/>
  <c r="O79" i="9" l="1"/>
  <c r="O78" i="9"/>
  <c r="O80" i="9" l="1"/>
  <c r="C46" i="9"/>
  <c r="O81" i="9"/>
  <c r="K33" i="9" l="1"/>
  <c r="K34" i="9" s="1"/>
  <c r="O41" i="9"/>
  <c r="R8" i="54" s="1"/>
  <c r="B54" i="63" s="1"/>
  <c r="I14" i="66"/>
  <c r="B8" i="66" s="1"/>
  <c r="D46" i="9"/>
  <c r="E46" i="9"/>
  <c r="F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<sst xmlns="http://schemas.openxmlformats.org/spreadsheetml/2006/main" count="7464" uniqueCount="3145">
  <si>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</si>
  <si>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</si>
  <si>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</si>
  <si>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</si>
  <si>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</si>
  <si>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</si>
  <si>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</si>
  <si>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</si>
  <si>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</si>
  <si>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</si>
  <si>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</si>
  <si>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</si>
  <si>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</si>
  <si>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</si>
  <si>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</si>
  <si>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</si>
  <si>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</si>
  <si>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</si>
  <si>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</si>
  <si>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</si>
  <si>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</si>
  <si>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</si>
  <si>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</si>
  <si>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</si>
  <si>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</si>
  <si>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</si>
  <si>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</si>
  <si>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</si>
  <si>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</si>
  <si>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</si>
  <si>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</si>
  <si>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</si>
  <si>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</si>
  <si>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</si>
  <si>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</si>
  <si>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</si>
  <si>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</si>
  <si>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</si>
  <si>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</si>
  <si>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</si>
  <si>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</si>
  <si>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</si>
  <si>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</si>
  <si>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</si>
  <si>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</si>
  <si>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</si>
  <si>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</si>
  <si>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</si>
  <si>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</si>
  <si>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</si>
  <si>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</si>
  <si>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</si>
  <si>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</si>
  <si>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</si>
  <si>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</si>
  <si>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</si>
  <si>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</si>
  <si>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</si>
  <si>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</si>
  <si>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</si>
  <si>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</si>
  <si>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</si>
  <si>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</si>
  <si>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</si>
  <si>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</si>
  <si>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</si>
  <si>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</si>
  <si>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</si>
  <si>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</si>
  <si>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</si>
  <si>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</si>
  <si>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</si>
  <si>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</si>
  <si>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</si>
  <si>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</si>
  <si>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</si>
  <si>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</si>
  <si>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</si>
  <si>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</si>
  <si>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</si>
  <si>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</si>
  <si>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</si>
  <si>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</si>
  <si>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</si>
  <si>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</si>
  <si>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</si>
  <si>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</si>
  <si>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</si>
  <si>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</si>
  <si>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</si>
  <si>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</si>
  <si>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</si>
  <si>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</si>
  <si>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</si>
  <si>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</si>
  <si>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</si>
  <si>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</si>
  <si>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</si>
  <si>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</si>
  <si>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</si>
  <si>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</si>
  <si>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</si>
  <si>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</si>
  <si>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</si>
  <si>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</si>
  <si>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</si>
  <si>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</si>
  <si>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</si>
  <si>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</si>
  <si>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</si>
  <si>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</si>
  <si>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</si>
  <si>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</si>
  <si>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</si>
  <si>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</si>
  <si>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</si>
  <si>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</si>
  <si>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</si>
  <si>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</si>
  <si>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</si>
  <si>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</si>
  <si>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</si>
  <si>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</si>
  <si>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</si>
  <si>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</si>
  <si>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</si>
  <si>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</si>
  <si>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</si>
  <si>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</si>
  <si>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</si>
  <si>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</si>
  <si>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</si>
  <si>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</si>
  <si>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</si>
  <si>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</si>
  <si>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</si>
  <si>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</si>
  <si>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</si>
  <si>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</si>
  <si>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</si>
  <si>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</si>
  <si>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</si>
  <si>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</si>
  <si>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</si>
  <si>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</si>
  <si>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</si>
  <si>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</si>
  <si>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</si>
  <si>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</si>
  <si>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</si>
  <si>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</si>
  <si>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</si>
  <si>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</si>
  <si>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</si>
  <si>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</si>
  <si>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</si>
  <si>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</si>
  <si>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</si>
  <si>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</si>
  <si>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</si>
  <si>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</si>
  <si>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</si>
  <si>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</si>
  <si>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</si>
  <si>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</si>
  <si>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</si>
  <si>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</si>
  <si>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</si>
  <si>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</si>
  <si>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</si>
  <si>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</si>
  <si>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</si>
  <si>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</si>
  <si>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</si>
  <si>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</si>
  <si>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</si>
  <si>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</si>
  <si>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</si>
  <si>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</si>
  <si>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</si>
  <si>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</si>
  <si>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</si>
  <si>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</si>
  <si>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</si>
  <si>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</si>
  <si>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</si>
  <si>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</si>
  <si>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</si>
  <si>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</si>
  <si>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</si>
  <si>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</si>
  <si>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</si>
  <si>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</si>
  <si>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</si>
  <si>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</si>
  <si>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</si>
  <si>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</si>
  <si>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</si>
  <si>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</si>
  <si>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</si>
  <si>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</si>
  <si>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</si>
  <si>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</si>
  <si>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</si>
  <si>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</si>
  <si>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</si>
  <si>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</si>
  <si>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</si>
  <si>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</si>
  <si>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</si>
  <si>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</si>
  <si>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</si>
  <si>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</si>
  <si>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</si>
  <si>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</si>
  <si>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</si>
  <si>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</si>
  <si>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</si>
  <si>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</si>
  <si>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</si>
  <si>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</si>
  <si>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</si>
  <si>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</si>
  <si>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</si>
  <si>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</si>
  <si>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</si>
  <si>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</si>
  <si>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</si>
  <si>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</si>
  <si>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</si>
  <si>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</si>
  <si>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</si>
  <si>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</si>
  <si>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</si>
  <si>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</si>
  <si>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</si>
  <si>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</si>
  <si>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</si>
  <si>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</si>
  <si>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</si>
  <si>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</si>
  <si>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</si>
  <si>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</si>
  <si>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</si>
  <si>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</si>
  <si>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</si>
  <si>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</si>
  <si>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</si>
  <si>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</si>
  <si>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</si>
  <si>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</si>
  <si>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</si>
  <si>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</si>
  <si>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</si>
  <si>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</si>
  <si>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</si>
  <si>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</si>
  <si>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</si>
  <si>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</si>
  <si>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</si>
  <si>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</si>
  <si>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</si>
  <si>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</si>
  <si>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</si>
  <si>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</si>
  <si>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</si>
  <si>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</si>
  <si>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</si>
  <si>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</si>
  <si>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</si>
  <si>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</si>
  <si>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</si>
  <si>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</si>
  <si>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</si>
  <si>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</si>
  <si>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</si>
  <si>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</si>
  <si>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</si>
  <si>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</si>
  <si>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</si>
  <si>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</si>
  <si>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</si>
  <si>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</si>
  <si>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</si>
  <si>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</si>
  <si>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</si>
  <si>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</si>
  <si>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</si>
  <si>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</si>
  <si>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</si>
  <si>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</si>
  <si>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</si>
  <si>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</si>
  <si>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</si>
  <si>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</si>
  <si>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</si>
  <si>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</si>
  <si>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</si>
  <si>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</si>
  <si>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</si>
  <si>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</si>
  <si>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</si>
  <si>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</si>
  <si>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</si>
  <si>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</si>
  <si>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</si>
  <si>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</si>
  <si>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</si>
  <si>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</si>
  <si>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</si>
  <si>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</si>
  <si>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</si>
  <si>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</si>
  <si>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</si>
  <si>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</si>
  <si>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</si>
  <si>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</si>
  <si>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</si>
  <si>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</si>
  <si>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</si>
  <si>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</si>
  <si>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</si>
  <si>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</si>
  <si>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</si>
  <si>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</si>
  <si>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</si>
  <si>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</si>
  <si>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</si>
  <si>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</si>
  <si>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</si>
  <si>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</si>
  <si>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</si>
  <si>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</si>
  <si>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</si>
  <si>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</si>
  <si>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</si>
  <si>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</si>
  <si>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</si>
  <si>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</si>
  <si>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</si>
  <si>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</si>
  <si>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</si>
  <si>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</si>
  <si>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</si>
  <si>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</si>
  <si>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</si>
  <si>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</si>
  <si>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</si>
  <si>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</si>
  <si>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</si>
  <si>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</si>
  <si>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</si>
  <si>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</si>
  <si>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</si>
  <si>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</si>
  <si>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</si>
  <si>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</si>
  <si>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</si>
  <si>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</si>
  <si>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</si>
  <si>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</si>
  <si>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</si>
  <si>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</si>
  <si>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</si>
  <si>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</si>
  <si>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</si>
  <si>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</si>
  <si>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</si>
  <si>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</si>
  <si>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</si>
  <si>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</si>
  <si>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</si>
  <si>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</si>
  <si>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</si>
  <si>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</si>
  <si>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</si>
  <si>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</si>
  <si>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</si>
  <si>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</si>
  <si>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</si>
  <si>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</si>
  <si>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</si>
  <si>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</si>
  <si>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</si>
  <si>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</si>
  <si>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</si>
  <si>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</si>
  <si>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</si>
  <si>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</si>
  <si>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</si>
  <si>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</si>
  <si>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</si>
  <si>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</si>
  <si>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</si>
  <si>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</si>
  <si>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</si>
  <si>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</si>
  <si>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</si>
  <si>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</si>
  <si>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</si>
  <si>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</si>
  <si>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</si>
  <si>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</si>
  <si>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</si>
  <si>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</si>
  <si>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</si>
  <si>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</si>
  <si>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</si>
  <si>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</si>
  <si>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</si>
  <si>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</si>
  <si>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</si>
  <si>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</si>
  <si>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</si>
  <si>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</si>
  <si>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</si>
  <si>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</si>
  <si>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</si>
  <si>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</si>
  <si>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</si>
  <si>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</si>
  <si>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</si>
  <si>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</si>
  <si>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</si>
  <si>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</si>
  <si>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</si>
  <si>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</si>
  <si>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</si>
  <si>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</si>
  <si>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</si>
  <si>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</si>
  <si>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</si>
  <si>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</si>
  <si>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</si>
  <si>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</si>
  <si>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</si>
  <si>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</si>
  <si>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</si>
  <si>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</si>
  <si>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</si>
  <si>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</si>
  <si>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</si>
  <si>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</si>
  <si>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</si>
  <si>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</si>
  <si>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</si>
  <si>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</si>
  <si>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</si>
  <si>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</si>
  <si>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</si>
  <si>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</si>
  <si>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</si>
  <si>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</si>
  <si>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</si>
  <si>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</si>
  <si>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</si>
  <si>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</si>
  <si>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</si>
  <si>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</si>
  <si>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</si>
  <si>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</si>
  <si>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</si>
  <si>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</si>
  <si>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</si>
  <si>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</si>
  <si>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</si>
  <si>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</si>
  <si>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</si>
  <si>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</si>
  <si>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</si>
  <si>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</si>
  <si>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</si>
  <si>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</si>
  <si>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</si>
  <si>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</si>
  <si>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</si>
  <si>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</si>
  <si>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</si>
  <si>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</si>
  <si>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</si>
  <si>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</si>
  <si>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</si>
  <si>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</si>
  <si>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</si>
  <si>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</si>
  <si>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</si>
  <si>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</si>
  <si>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</si>
  <si>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</si>
  <si>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</si>
  <si>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</si>
  <si>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</si>
  <si>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</si>
  <si>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</si>
  <si>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</si>
  <si>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</si>
  <si>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</si>
  <si>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</si>
  <si>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</si>
  <si>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</si>
  <si>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</si>
  <si>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</si>
  <si>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</si>
  <si>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</si>
  <si>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</si>
  <si>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</si>
  <si>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</si>
  <si>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</si>
  <si>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</si>
  <si>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</si>
  <si>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</si>
  <si>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</si>
  <si>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</si>
  <si>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</si>
  <si>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</si>
  <si>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</si>
  <si>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</si>
  <si>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</si>
  <si>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</si>
  <si>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</si>
  <si>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</si>
  <si>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</si>
  <si>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</si>
  <si>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</si>
  <si>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</si>
  <si>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</si>
  <si>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</si>
  <si>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</si>
  <si>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</si>
  <si>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</si>
  <si>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</si>
  <si>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</si>
  <si>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</si>
  <si>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</si>
  <si>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</si>
  <si>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</si>
  <si>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</si>
  <si>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</si>
  <si>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</si>
  <si>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</si>
  <si>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</si>
  <si>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</si>
  <si>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</si>
  <si>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</si>
  <si>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</si>
  <si>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</si>
  <si>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</si>
  <si>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</si>
  <si>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</si>
  <si>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</si>
  <si>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</si>
  <si>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</si>
  <si>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</si>
  <si>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</si>
  <si>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</si>
  <si>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</si>
  <si>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</si>
  <si>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</si>
  <si>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</si>
  <si>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</si>
  <si>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</si>
  <si>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</si>
  <si>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</si>
  <si>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</si>
  <si>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</si>
  <si>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</si>
  <si>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</si>
  <si>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</si>
  <si>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</si>
  <si>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</si>
  <si>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</si>
  <si>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</si>
  <si>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</si>
  <si>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</si>
  <si>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</si>
  <si>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</si>
  <si>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</si>
  <si>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</si>
  <si>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</si>
  <si>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</si>
  <si>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</si>
  <si>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</si>
  <si>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</si>
  <si>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</si>
  <si>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</si>
  <si>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</si>
  <si>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</si>
  <si>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</si>
  <si>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</si>
  <si>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</si>
  <si>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</si>
  <si>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</si>
  <si>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</si>
  <si>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</si>
  <si>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</si>
  <si>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</si>
  <si>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</si>
  <si>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</si>
  <si>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</si>
  <si>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</si>
  <si>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</si>
  <si>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</si>
  <si>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</si>
  <si>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</si>
  <si>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</si>
  <si>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</si>
  <si>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</si>
  <si>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</si>
  <si>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</si>
  <si>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</si>
  <si>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</si>
  <si>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</si>
  <si>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</si>
  <si>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</si>
  <si>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</si>
  <si>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</si>
  <si>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</si>
  <si>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</si>
  <si>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</si>
  <si>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</si>
  <si>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</si>
  <si>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</si>
  <si>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</si>
  <si>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</si>
  <si>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</si>
  <si>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</si>
  <si>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</si>
  <si>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</si>
  <si>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</si>
  <si>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</si>
  <si>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</si>
  <si>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</si>
  <si>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</si>
  <si>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</si>
  <si>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</si>
  <si>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</si>
  <si>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</si>
  <si>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</si>
  <si>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</si>
  <si>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</si>
  <si>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</si>
  <si>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</si>
  <si>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</si>
  <si>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</si>
  <si>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</si>
  <si>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</si>
  <si>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</si>
  <si>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</si>
  <si>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</si>
  <si>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</si>
  <si>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</si>
  <si>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</si>
  <si>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</si>
  <si>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</si>
  <si>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</si>
  <si>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</si>
  <si>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</si>
  <si>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</si>
  <si>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</si>
  <si>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</si>
  <si>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</si>
  <si>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</si>
  <si>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</si>
  <si>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</si>
  <si>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</si>
  <si>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</si>
  <si>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</si>
  <si>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</si>
  <si>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</si>
  <si>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</si>
  <si>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</si>
  <si>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</si>
  <si>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</si>
  <si>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</si>
  <si>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</si>
  <si>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</si>
  <si>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</si>
  <si>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</si>
  <si>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</si>
  <si>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</si>
  <si>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</si>
  <si>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</si>
  <si>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</si>
  <si>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</si>
  <si>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</si>
  <si>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</si>
  <si>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</si>
  <si>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</si>
  <si>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</si>
  <si>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</si>
  <si>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</si>
  <si>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</si>
  <si>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</si>
  <si>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</si>
  <si>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</si>
  <si>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</si>
  <si>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</si>
  <si>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</si>
  <si>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</si>
  <si>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</si>
  <si>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</si>
  <si>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</si>
  <si>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</si>
  <si>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</si>
  <si>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</si>
  <si>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</si>
  <si>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</si>
  <si>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</si>
  <si>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</si>
  <si>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</si>
  <si>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</si>
  <si>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</si>
  <si>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</si>
  <si>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</si>
  <si>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</si>
  <si>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</si>
  <si>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</si>
  <si>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</si>
  <si>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</si>
  <si>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</si>
  <si>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</si>
  <si>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</si>
  <si>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</si>
  <si>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</si>
  <si>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</si>
  <si>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</si>
  <si>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</si>
  <si>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</si>
  <si>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</si>
  <si>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</si>
  <si>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</si>
  <si>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</si>
  <si>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</si>
  <si>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</si>
  <si>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</si>
  <si>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</si>
  <si>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</si>
  <si>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</si>
  <si>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</si>
  <si>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</si>
  <si>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</si>
  <si>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</si>
  <si>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</si>
  <si>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</si>
  <si>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</si>
  <si>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</si>
  <si>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</si>
  <si>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</si>
  <si>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</si>
  <si>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</si>
  <si>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</si>
  <si>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</si>
  <si>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</si>
  <si>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</si>
  <si>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</si>
  <si>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</si>
  <si>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</si>
  <si>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</si>
  <si>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</si>
  <si>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</si>
  <si>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</si>
  <si>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</si>
  <si>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</si>
  <si>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</si>
  <si>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</si>
  <si>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</si>
  <si>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</si>
  <si>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</si>
  <si>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</si>
  <si>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</si>
  <si>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</si>
  <si>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</si>
  <si>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</si>
  <si>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</si>
  <si>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</si>
  <si>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</si>
  <si>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</si>
  <si>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</si>
  <si>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</si>
  <si>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</si>
  <si>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</si>
  <si>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</si>
  <si>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</si>
  <si>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</si>
  <si>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</si>
  <si>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</si>
  <si>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</si>
  <si>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</si>
  <si>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</si>
  <si>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</si>
  <si>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</si>
  <si>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</si>
  <si>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</si>
  <si>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</si>
  <si>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</si>
  <si>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</si>
  <si>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</si>
  <si>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</si>
  <si>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</si>
  <si>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</si>
  <si>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</si>
  <si>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</si>
  <si>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</si>
  <si>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</si>
  <si>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</si>
  <si>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</si>
  <si>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</si>
  <si>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</si>
  <si>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</si>
  <si>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</si>
  <si>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</si>
  <si>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</si>
  <si>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</si>
  <si>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</si>
  <si>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</si>
  <si>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</si>
  <si>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</si>
  <si>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</si>
  <si>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</si>
  <si>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</si>
  <si>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</si>
  <si>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</si>
  <si>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</si>
  <si>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</si>
  <si>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</si>
  <si>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</si>
  <si>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</si>
  <si>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</si>
  <si>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</si>
  <si>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</si>
  <si>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</si>
  <si>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</si>
  <si>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</si>
  <si>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</si>
  <si>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</si>
  <si>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</si>
  <si>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</si>
  <si>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</si>
  <si>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</si>
  <si>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</si>
  <si>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</si>
  <si>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</si>
  <si>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</si>
  <si>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</si>
  <si>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</si>
  <si>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</si>
  <si>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</si>
  <si>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</si>
  <si>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</si>
  <si>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</si>
  <si>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</si>
  <si>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</si>
  <si>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</si>
  <si>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</si>
  <si>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</si>
  <si>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</si>
  <si>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</si>
  <si>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</si>
  <si>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</si>
  <si>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</si>
  <si>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</si>
  <si>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</si>
  <si>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</si>
  <si>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</si>
  <si>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</si>
  <si>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</si>
  <si>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</si>
  <si>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</si>
  <si>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</si>
  <si>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</si>
  <si>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</si>
  <si>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</si>
  <si>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</si>
  <si>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</si>
  <si>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</si>
  <si>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</si>
  <si>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</si>
  <si>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</si>
  <si>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</si>
  <si>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</si>
  <si>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</si>
  <si>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</si>
  <si>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</si>
  <si>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</si>
  <si>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</si>
  <si>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</si>
  <si>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</si>
  <si>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</si>
  <si>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</si>
  <si>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</si>
  <si>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</si>
  <si>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</si>
  <si>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</si>
  <si>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</si>
  <si>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</si>
  <si>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</si>
  <si>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</si>
  <si>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</si>
  <si>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</si>
  <si>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</si>
  <si>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</si>
  <si>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</si>
  <si>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</si>
  <si>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</si>
  <si>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</si>
  <si>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</si>
  <si>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</si>
  <si>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</si>
  <si>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</si>
  <si>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</si>
  <si>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</si>
  <si>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</si>
  <si>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</si>
  <si>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</si>
  <si>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</si>
  <si>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</si>
  <si>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</si>
  <si>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</si>
  <si>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</si>
  <si>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</si>
  <si>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</si>
  <si>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</si>
  <si>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</si>
  <si>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</si>
  <si>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</si>
  <si>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</si>
  <si>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</si>
  <si>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</si>
  <si>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</si>
  <si>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</si>
  <si>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</si>
  <si>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</si>
  <si>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</si>
  <si>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</si>
  <si>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</si>
  <si>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</si>
  <si>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</si>
  <si>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</si>
  <si>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</si>
  <si>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</si>
  <si>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</si>
  <si>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</si>
  <si>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</si>
  <si>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</si>
  <si>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</si>
  <si>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</si>
  <si>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</si>
  <si>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</si>
  <si>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</si>
  <si>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</si>
  <si>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</si>
  <si>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</si>
  <si>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</si>
  <si>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</si>
  <si>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</si>
  <si>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</si>
  <si>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</si>
  <si>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</si>
  <si>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</si>
  <si>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</si>
  <si>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</si>
  <si>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</si>
  <si>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</si>
  <si>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</si>
  <si>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</si>
  <si>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</si>
  <si>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</si>
  <si>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</si>
  <si>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</si>
  <si>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</si>
  <si>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</si>
  <si>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</si>
  <si>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</si>
  <si>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</si>
  <si>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</si>
  <si>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</si>
  <si>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</si>
  <si>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</si>
  <si>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</si>
  <si>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</si>
  <si>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</si>
  <si>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</si>
  <si>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</si>
  <si>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</si>
  <si>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</si>
  <si>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</si>
  <si>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</si>
  <si>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</si>
  <si>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</si>
  <si>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</si>
  <si>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</si>
  <si>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</si>
  <si>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</si>
  <si>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</si>
  <si>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</si>
  <si>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</si>
  <si>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</si>
  <si>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</si>
  <si>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</si>
  <si>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</si>
  <si>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</si>
  <si>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</si>
  <si>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</si>
  <si>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</si>
  <si>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</si>
  <si>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</si>
  <si>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</si>
  <si>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</si>
  <si>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</si>
  <si>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</si>
  <si>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</si>
  <si>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</si>
  <si>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</si>
  <si>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</si>
  <si>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</si>
  <si>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</si>
  <si>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</si>
  <si>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</si>
  <si>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</si>
  <si>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</si>
  <si>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</si>
  <si>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</si>
  <si>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</si>
  <si>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</si>
  <si>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</si>
  <si>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</si>
  <si>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</si>
  <si>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</si>
  <si>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</si>
  <si>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</si>
  <si>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</si>
  <si>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</si>
  <si>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</si>
  <si>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</si>
  <si>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</si>
  <si>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</si>
  <si>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</si>
  <si>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</si>
  <si>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</si>
  <si>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</si>
  <si>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</si>
  <si>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</si>
  <si>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</si>
  <si>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</si>
  <si>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</si>
  <si>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</si>
  <si>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</si>
  <si>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</si>
  <si>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</si>
  <si>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</si>
  <si>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</si>
  <si>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</si>
  <si>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</si>
  <si>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</si>
  <si>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</si>
  <si>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</si>
  <si>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</si>
  <si>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</si>
  <si>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</si>
  <si>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</si>
  <si>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</si>
  <si>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</si>
  <si>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</si>
  <si>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</si>
  <si>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</si>
  <si>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</si>
  <si>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</si>
  <si>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</si>
  <si>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</si>
  <si>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</si>
  <si>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</si>
  <si>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</si>
  <si>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</si>
  <si>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</si>
  <si>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</si>
  <si>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</si>
  <si>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</si>
  <si>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</si>
  <si>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</si>
  <si>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</si>
  <si>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</si>
  <si>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</si>
  <si>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</si>
  <si>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</si>
  <si>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</si>
  <si>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</si>
  <si>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</si>
  <si>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</si>
  <si>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</si>
  <si>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</si>
  <si>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</si>
  <si>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</si>
  <si>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</si>
  <si>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</si>
  <si>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</si>
  <si>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</si>
  <si>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</si>
  <si>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</si>
  <si>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</si>
  <si>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</si>
  <si>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</si>
  <si>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</si>
  <si>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</si>
  <si>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</si>
  <si>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</si>
  <si>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</si>
  <si>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</si>
  <si>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</si>
  <si>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</si>
  <si>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</si>
  <si>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</si>
  <si>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</si>
  <si>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</si>
  <si>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</si>
  <si>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</si>
  <si>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</si>
  <si>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</si>
  <si>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</si>
  <si>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</si>
  <si>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</si>
  <si>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</si>
  <si>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</si>
  <si>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</si>
  <si>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</si>
  <si>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</si>
  <si>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</si>
  <si>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</si>
  <si>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</si>
  <si>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</si>
  <si>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</si>
  <si>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</si>
  <si>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</si>
  <si>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</si>
  <si>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</si>
  <si>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</si>
  <si>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</si>
  <si>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</si>
  <si>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</si>
  <si>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</si>
  <si>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</si>
  <si>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</si>
  <si>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</si>
  <si>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</si>
  <si>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</si>
  <si>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</si>
  <si>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</si>
  <si>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</si>
  <si>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</si>
  <si>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</si>
  <si>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</si>
  <si>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</si>
  <si>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</si>
  <si>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</si>
  <si>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</si>
  <si>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</si>
  <si>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</si>
  <si>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</si>
  <si>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</si>
  <si>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</si>
  <si>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</si>
  <si>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</si>
  <si>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</si>
  <si>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</si>
  <si>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</si>
  <si>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</si>
  <si>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</si>
  <si>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</si>
  <si>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</si>
  <si>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</si>
  <si>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</si>
  <si>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</si>
  <si>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</si>
  <si>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</si>
  <si>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</si>
  <si>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</si>
  <si>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</si>
  <si>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</si>
  <si>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</si>
  <si>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</si>
  <si>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</si>
  <si>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</si>
  <si>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</si>
  <si>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</si>
  <si>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</si>
  <si>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</si>
  <si>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</si>
  <si>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</si>
  <si>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</si>
  <si>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</si>
  <si>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</si>
  <si>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</si>
  <si>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</si>
  <si>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</si>
  <si>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</si>
  <si>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</si>
  <si>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</si>
  <si>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</si>
  <si>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</si>
  <si>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</si>
  <si>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</si>
  <si>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</si>
  <si>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</si>
  <si>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</si>
  <si>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</si>
  <si>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</si>
  <si>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</si>
  <si>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</si>
  <si>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</si>
  <si>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</si>
  <si>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</si>
  <si>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</si>
  <si>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</si>
  <si>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</si>
  <si>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</si>
  <si>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</si>
  <si>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</si>
  <si>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</si>
  <si>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</si>
  <si>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</si>
  <si>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</si>
  <si>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</si>
  <si>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</si>
  <si>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</si>
  <si>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</si>
  <si>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</si>
  <si>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</si>
  <si>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</si>
  <si>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</si>
  <si>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</si>
  <si>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</si>
  <si>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</si>
  <si>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</si>
  <si>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</si>
  <si>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</si>
  <si>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</si>
  <si>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</si>
  <si>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</si>
  <si>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</si>
  <si>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</si>
  <si>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</si>
  <si>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</si>
  <si>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</si>
  <si>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</si>
  <si>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</si>
  <si>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</si>
  <si>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</si>
  <si>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</si>
  <si>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</si>
  <si>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</si>
  <si>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</si>
  <si>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</si>
  <si>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</si>
  <si>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</si>
  <si>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</si>
  <si>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</si>
  <si>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</si>
  <si>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</si>
  <si>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</si>
  <si>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</si>
  <si>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</si>
  <si>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</si>
  <si>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</si>
  <si>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</si>
  <si>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</si>
  <si>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</si>
  <si>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</si>
  <si>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</si>
  <si>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</si>
  <si>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</si>
  <si>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</si>
  <si>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</si>
  <si>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</si>
  <si>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</si>
  <si>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</si>
  <si>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</si>
  <si>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</si>
  <si>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</si>
  <si>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</si>
  <si>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</si>
  <si>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</si>
  <si>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</si>
  <si>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</si>
  <si>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</si>
  <si>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</si>
  <si>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</si>
  <si>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</si>
  <si>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</si>
  <si>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</si>
  <si>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</si>
  <si>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</si>
  <si>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</si>
  <si>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</si>
  <si>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</si>
  <si>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</si>
  <si>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</si>
  <si>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</si>
  <si>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</si>
  <si>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</si>
  <si>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</si>
  <si>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</si>
  <si>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</si>
  <si>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</si>
  <si>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</si>
  <si>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</si>
  <si>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</si>
  <si>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</si>
  <si>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</si>
  <si>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</si>
  <si>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</si>
  <si>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</si>
  <si>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</si>
  <si>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</si>
  <si>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</si>
  <si>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</si>
  <si>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</si>
  <si>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</si>
  <si>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</si>
  <si>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</si>
  <si>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</si>
  <si>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</si>
  <si>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</si>
  <si>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</si>
  <si>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</si>
  <si>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</si>
  <si>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</si>
  <si>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</si>
  <si>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</si>
  <si>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</si>
  <si>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</si>
  <si>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</si>
  <si>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</si>
  <si>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</si>
  <si>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</si>
  <si>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</si>
  <si>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</si>
  <si>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</si>
  <si>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</si>
  <si>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</si>
  <si>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</si>
  <si>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</si>
  <si>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</si>
  <si>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</si>
  <si>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</si>
  <si>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</si>
  <si>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</si>
  <si>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</si>
  <si>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</si>
  <si>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</si>
  <si>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</si>
  <si>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</si>
  <si>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</si>
  <si>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</si>
  <si>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</si>
  <si>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</si>
  <si>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</si>
  <si>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</si>
  <si>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</si>
  <si>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</si>
  <si>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</si>
  <si>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</si>
  <si>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</si>
  <si>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</si>
  <si>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</si>
  <si>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</si>
  <si>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</si>
  <si>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</si>
  <si>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</si>
  <si>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</si>
  <si>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</si>
  <si>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</si>
  <si>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</si>
  <si>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</si>
  <si>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</si>
  <si>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</si>
  <si>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</si>
  <si>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</si>
  <si>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</si>
  <si>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</si>
  <si>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</si>
  <si>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</si>
  <si>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</si>
  <si>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</si>
  <si>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</si>
  <si>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</si>
  <si>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</si>
  <si>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</si>
  <si>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</si>
  <si>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</si>
  <si>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</si>
  <si>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</si>
  <si>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</si>
  <si>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</si>
  <si>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</si>
  <si>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</si>
  <si>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</si>
  <si>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</si>
  <si>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</si>
  <si>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</si>
  <si>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</si>
  <si>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</si>
  <si>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</si>
  <si>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</si>
  <si>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</si>
  <si>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</si>
  <si>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</si>
  <si>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</si>
  <si>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</si>
  <si>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</si>
  <si>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</si>
  <si>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</si>
  <si>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</si>
  <si>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</si>
  <si>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</si>
  <si>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</si>
  <si>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</si>
  <si>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</si>
  <si>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</si>
  <si>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</si>
  <si>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</si>
  <si>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</si>
  <si>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</si>
  <si>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</si>
  <si>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</si>
  <si>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</si>
  <si>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</si>
  <si>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</si>
  <si>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</si>
  <si>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</si>
  <si>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</si>
  <si>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</si>
  <si>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</si>
  <si>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</si>
  <si>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</si>
  <si>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</si>
  <si>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</si>
  <si>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</si>
  <si>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</si>
  <si>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</si>
  <si>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</si>
  <si>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</si>
  <si>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</si>
  <si>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</si>
  <si>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</si>
  <si>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</si>
  <si>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</si>
  <si>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</si>
  <si>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</si>
  <si>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</si>
  <si>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</si>
  <si>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</si>
  <si>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</si>
  <si>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</si>
  <si>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</si>
  <si>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</si>
  <si>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</si>
  <si>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</si>
  <si>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</si>
  <si>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</si>
  <si>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</si>
  <si>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</si>
  <si>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</si>
  <si>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</si>
  <si>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</si>
  <si>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</si>
  <si>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</si>
  <si>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</si>
  <si>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</si>
  <si>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</si>
  <si>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</si>
  <si>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</si>
  <si>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</si>
  <si>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</si>
  <si>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</si>
  <si>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</si>
  <si>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</si>
  <si>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</si>
  <si>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</si>
  <si>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</si>
  <si>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</si>
  <si>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</si>
  <si>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</si>
  <si>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</si>
  <si>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</si>
  <si>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</si>
  <si>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</si>
  <si>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</si>
  <si>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</si>
  <si>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</si>
  <si>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</si>
  <si>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</si>
  <si>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</si>
  <si>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</si>
  <si>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</si>
  <si>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</si>
  <si>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</si>
  <si>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</si>
  <si>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</si>
  <si>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</si>
  <si>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</si>
  <si>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</si>
  <si>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</si>
  <si>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</si>
  <si>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</si>
  <si>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</si>
  <si>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</si>
  <si>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</si>
  <si>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</si>
  <si>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</si>
  <si>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</si>
  <si>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</si>
  <si>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</si>
  <si>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</si>
  <si>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</si>
  <si>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</si>
  <si>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</si>
  <si>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</si>
  <si>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</si>
  <si>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</si>
  <si>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</si>
  <si>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</si>
  <si>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</si>
  <si>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</si>
  <si>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</si>
  <si>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</si>
  <si>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</si>
  <si>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</si>
  <si>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</si>
  <si>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</si>
  <si>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</si>
  <si>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</si>
  <si>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</si>
  <si>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</si>
  <si>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</si>
  <si>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</si>
  <si>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</si>
  <si>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</si>
  <si>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</si>
  <si>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</si>
  <si>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</si>
  <si>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</si>
  <si>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</si>
  <si>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</si>
  <si>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</si>
  <si>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</si>
  <si>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</si>
  <si>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</si>
  <si>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</si>
  <si>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</si>
  <si>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</si>
  <si>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</si>
  <si>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</si>
  <si>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</si>
  <si>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</si>
  <si>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</si>
  <si>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</si>
  <si>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</si>
  <si>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</si>
  <si>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</si>
  <si>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</si>
  <si>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</si>
  <si>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</si>
  <si>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</si>
  <si>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</si>
  <si>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</si>
  <si>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</si>
  <si>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</si>
  <si>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</si>
  <si>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</si>
  <si>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</si>
  <si>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</si>
  <si>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</si>
  <si>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</si>
  <si>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</si>
  <si>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</si>
  <si>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</si>
  <si>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</si>
  <si>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</si>
  <si>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</si>
  <si>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</si>
  <si>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</si>
  <si>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</si>
  <si>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</si>
  <si>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</si>
  <si>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</si>
  <si>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</si>
  <si>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</si>
  <si>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</si>
  <si>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</si>
  <si>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</si>
  <si>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</si>
  <si>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</si>
  <si>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</si>
  <si>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</si>
  <si>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</si>
  <si>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</si>
  <si>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</si>
  <si>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</si>
  <si>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</si>
  <si>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</si>
  <si>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</si>
  <si>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</si>
  <si>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</si>
  <si>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</si>
  <si>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</si>
  <si>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</si>
  <si>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</si>
  <si>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</si>
  <si>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</si>
  <si>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</si>
  <si>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</si>
  <si>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</si>
  <si>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</si>
  <si>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</si>
  <si>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</si>
  <si>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</si>
  <si>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</si>
  <si>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</si>
  <si>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</si>
  <si>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</si>
  <si>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</si>
  <si>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</si>
  <si>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</si>
  <si>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</si>
  <si>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</si>
  <si>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</si>
  <si>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</si>
  <si>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</si>
  <si>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</si>
  <si>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</si>
  <si>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</si>
  <si>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</si>
  <si>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</si>
  <si>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</si>
  <si>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</si>
  <si>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</si>
  <si>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</si>
  <si>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</si>
  <si>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</si>
  <si>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</si>
  <si>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</si>
  <si>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</si>
  <si>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</si>
  <si>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</si>
  <si>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</si>
  <si>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</si>
  <si>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</si>
  <si>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</si>
  <si>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</si>
  <si>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</si>
  <si>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</si>
  <si>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</si>
  <si>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</si>
  <si>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</si>
  <si>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</si>
  <si>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</si>
  <si>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</si>
  <si>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</si>
  <si>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</si>
  <si>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</si>
  <si>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</si>
  <si>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</si>
  <si>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</si>
  <si>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</si>
  <si>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</si>
  <si>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</si>
  <si>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</si>
  <si>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</si>
  <si>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</si>
  <si>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</si>
  <si>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</si>
  <si>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</si>
  <si>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</si>
  <si>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</si>
  <si>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</si>
  <si>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</si>
  <si>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</si>
  <si>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</si>
  <si>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</si>
  <si>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</si>
  <si>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</si>
  <si>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</si>
  <si>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</si>
  <si>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</si>
  <si>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</si>
  <si>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</si>
  <si>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</si>
  <si>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</si>
  <si>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</si>
  <si>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</si>
  <si>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</si>
  <si>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</si>
  <si>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</si>
  <si>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</si>
  <si>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</si>
  <si>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</si>
  <si>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</si>
  <si>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</si>
  <si>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</si>
  <si>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</si>
  <si>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</si>
  <si>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</si>
  <si>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</si>
  <si>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</si>
  <si>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</si>
  <si>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</si>
  <si>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</si>
  <si>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</si>
  <si>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</si>
  <si>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</si>
  <si>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</si>
  <si>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</si>
  <si>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</si>
  <si>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</si>
  <si>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</si>
  <si>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</si>
  <si>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</si>
  <si>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</si>
  <si>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</si>
  <si>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</si>
  <si>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</si>
  <si>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</si>
  <si>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</si>
  <si>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</si>
  <si>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</si>
  <si>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</si>
  <si>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</si>
  <si>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</si>
  <si>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</si>
  <si>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</si>
  <si>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</si>
  <si>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</si>
  <si>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</si>
  <si>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</si>
  <si>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</si>
  <si>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</si>
  <si>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</si>
  <si>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</si>
  <si>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</si>
  <si>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</si>
  <si>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</si>
  <si>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</si>
  <si>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</si>
  <si>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</si>
  <si>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</si>
  <si>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</si>
  <si>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</si>
  <si>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</si>
  <si>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</si>
  <si>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</si>
  <si>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</si>
  <si>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</si>
  <si>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</si>
  <si>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</si>
  <si>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</si>
  <si>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</si>
  <si>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</si>
  <si>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</si>
  <si>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</si>
  <si>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</si>
  <si>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</si>
  <si>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</si>
  <si>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</si>
  <si>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</si>
  <si>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</si>
  <si>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</si>
  <si>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</si>
  <si>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</si>
  <si>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</si>
  <si>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</si>
  <si>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</si>
  <si>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</si>
  <si>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</si>
  <si>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</si>
  <si>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</si>
  <si>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</si>
  <si>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</si>
  <si>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</si>
  <si>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</si>
  <si>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</si>
  <si>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</si>
  <si>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</si>
  <si>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</si>
  <si>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</si>
  <si>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</si>
  <si>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</si>
  <si>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</si>
  <si>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</si>
  <si>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</si>
  <si>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</si>
  <si>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</si>
  <si>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</si>
  <si>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</si>
  <si>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</si>
  <si>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</si>
  <si>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</si>
  <si>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</si>
  <si>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</si>
  <si>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</si>
  <si>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</si>
  <si>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</si>
  <si>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</si>
  <si>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</si>
  <si>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</si>
  <si>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</si>
  <si>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</si>
  <si>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</si>
  <si>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</si>
  <si>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</si>
  <si>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</si>
  <si>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</si>
  <si>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</si>
  <si>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</si>
  <si>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</si>
  <si>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</si>
  <si>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</si>
  <si>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</si>
  <si>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</si>
  <si>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</si>
  <si>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</si>
  <si>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</si>
  <si>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</si>
  <si>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</si>
  <si>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</si>
  <si>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</si>
  <si>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</si>
  <si>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</si>
  <si>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</si>
  <si>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</si>
  <si>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</si>
  <si>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</si>
  <si>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</si>
  <si>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</si>
  <si>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</si>
  <si>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</si>
  <si>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</si>
  <si>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</si>
  <si>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</si>
  <si>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</si>
  <si>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</si>
  <si>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</si>
  <si>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</si>
  <si>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</si>
  <si>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</si>
  <si>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</si>
  <si>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</si>
  <si>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</si>
  <si>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</si>
  <si>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</si>
  <si>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</si>
  <si>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</si>
  <si>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</si>
  <si>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</si>
  <si>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</si>
  <si>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</si>
  <si>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</si>
  <si>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</si>
  <si>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</si>
  <si>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</si>
  <si>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</si>
  <si>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</si>
  <si>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</si>
  <si>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</si>
  <si>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</si>
  <si>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</si>
  <si>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</si>
  <si>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</si>
  <si>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</si>
  <si>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</si>
  <si>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</si>
  <si>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</si>
  <si>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</si>
  <si>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</si>
  <si>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</si>
  <si>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</si>
  <si>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</si>
  <si>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</si>
  <si>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</si>
  <si>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</si>
  <si>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</si>
  <si>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</si>
  <si>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</si>
  <si>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</si>
  <si>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</si>
  <si>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</si>
  <si>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</si>
  <si>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</si>
  <si>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</si>
  <si>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</si>
  <si>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</si>
  <si>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</si>
  <si>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</si>
  <si>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</si>
  <si>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</si>
  <si>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</si>
  <si>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</si>
  <si>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</si>
  <si>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</si>
  <si>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</si>
  <si>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</si>
  <si>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</si>
  <si>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</si>
  <si>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</si>
  <si>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</si>
  <si>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</si>
  <si>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</si>
  <si>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</si>
  <si>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</si>
  <si>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</si>
  <si>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</si>
  <si>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</si>
  <si>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</si>
  <si>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</si>
  <si>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</si>
  <si>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</si>
  <si>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</si>
  <si>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</si>
  <si>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</si>
  <si>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</si>
  <si>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</si>
  <si>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</si>
  <si>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</si>
  <si>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</si>
  <si>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</si>
  <si>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</si>
  <si>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</si>
  <si>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</si>
  <si>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</si>
  <si>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</si>
  <si>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</si>
  <si>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</si>
  <si>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</si>
  <si>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</si>
  <si>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</si>
  <si>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</si>
  <si>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</si>
  <si>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</si>
  <si>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</si>
  <si>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</si>
  <si>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</si>
  <si>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</si>
  <si>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</si>
  <si>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</si>
  <si>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</si>
  <si>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</si>
  <si>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</si>
  <si>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</si>
  <si>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</si>
  <si>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</si>
  <si>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</si>
  <si>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</si>
  <si>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</si>
  <si>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</si>
  <si>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</si>
  <si>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</si>
  <si>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</si>
  <si>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</si>
  <si>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</si>
  <si>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</si>
  <si>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</si>
  <si>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</si>
  <si>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</si>
  <si>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</si>
  <si>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</si>
  <si>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</si>
  <si>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</si>
  <si>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</si>
  <si>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</si>
  <si>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</si>
  <si>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</si>
  <si>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</si>
  <si>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</si>
  <si>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</si>
  <si>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</si>
  <si>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</si>
  <si>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</si>
  <si>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</si>
  <si>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</si>
  <si>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</si>
  <si>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</si>
  <si>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</si>
  <si>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</si>
  <si>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</si>
  <si>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</si>
  <si>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</si>
  <si>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</si>
  <si>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</si>
  <si>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</si>
  <si>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</si>
  <si>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</si>
  <si>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</si>
  <si>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</si>
  <si>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</si>
  <si>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</si>
  <si>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</si>
  <si>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</si>
  <si>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</si>
  <si>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</si>
  <si>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</si>
  <si>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</si>
  <si>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</si>
  <si>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</si>
  <si>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</si>
  <si>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</si>
  <si>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</si>
  <si>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</si>
  <si>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</si>
  <si>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</si>
  <si>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</si>
  <si>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</si>
  <si>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</si>
  <si>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</si>
  <si>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</si>
  <si>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</si>
  <si>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</si>
  <si>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</si>
  <si>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</si>
  <si>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</si>
  <si>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</si>
  <si>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</si>
  <si>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</si>
  <si>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</si>
  <si>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</si>
  <si>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</si>
  <si>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</si>
  <si>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</si>
  <si>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</si>
  <si>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</si>
  <si>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</si>
  <si>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</si>
  <si>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</si>
  <si>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</si>
  <si>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</si>
  <si>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</si>
  <si>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</si>
  <si>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</si>
  <si>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</si>
  <si>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</si>
  <si>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</si>
  <si>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</si>
  <si>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</si>
  <si>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</si>
  <si>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</si>
  <si>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</si>
  <si>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</si>
  <si>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</si>
  <si>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</si>
  <si>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</si>
  <si>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</si>
  <si>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</si>
  <si>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</si>
  <si>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</si>
  <si>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</si>
  <si>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</si>
  <si>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</si>
  <si>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</si>
  <si>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</si>
  <si>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</si>
  <si>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</si>
  <si>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</si>
  <si>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</si>
  <si>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</si>
  <si>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</si>
  <si>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</si>
  <si>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</si>
  <si>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</si>
  <si>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</si>
  <si>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</si>
  <si>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</si>
  <si>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</si>
  <si>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</si>
  <si>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</si>
  <si>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</si>
  <si>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</si>
  <si>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</si>
  <si>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</si>
  <si>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</si>
  <si>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</si>
  <si>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</si>
  <si>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</si>
  <si>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</si>
  <si>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</si>
  <si>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</si>
  <si>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</si>
  <si>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</si>
  <si>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</si>
  <si>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</si>
  <si>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</si>
  <si>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</si>
  <si>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</si>
  <si>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</si>
  <si>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</si>
  <si>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</si>
  <si>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</si>
  <si>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</si>
  <si>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</si>
  <si>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</si>
  <si>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</si>
  <si>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</si>
  <si>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</si>
  <si>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</si>
  <si>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</si>
  <si>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</si>
  <si>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</si>
  <si>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</si>
  <si>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</si>
  <si>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</si>
  <si>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</si>
  <si>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</si>
  <si>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</si>
  <si>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</si>
  <si>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</si>
  <si>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</si>
  <si>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</si>
  <si>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</si>
  <si>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</si>
  <si>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</si>
  <si>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</si>
  <si>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</si>
  <si>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</si>
  <si>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</si>
  <si>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</si>
  <si>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</si>
  <si>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</si>
  <si>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</si>
  <si>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</si>
  <si>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</si>
  <si>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</si>
  <si>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</si>
  <si>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</si>
  <si>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</si>
  <si>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</si>
  <si>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</si>
  <si>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</si>
  <si>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</si>
  <si>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</si>
  <si>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</si>
  <si>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</si>
  <si>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</si>
  <si>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</si>
  <si>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</si>
  <si>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</si>
  <si>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</si>
  <si>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</si>
  <si>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</si>
  <si>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</si>
  <si>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</si>
  <si>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</si>
  <si>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</si>
  <si>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</si>
  <si>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</si>
  <si>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</si>
  <si>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</si>
  <si>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</si>
  <si>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</si>
  <si>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</si>
  <si>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</si>
  <si>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</si>
  <si>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</si>
  <si>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</si>
  <si>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</si>
  <si>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</si>
  <si>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</si>
  <si>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</si>
  <si>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</si>
  <si>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</si>
  <si>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</si>
  <si>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</si>
  <si>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</si>
  <si>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</si>
  <si>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</si>
  <si>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</si>
  <si>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</si>
  <si>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</si>
  <si>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</si>
  <si>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</si>
  <si>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</si>
  <si>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</si>
  <si>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</si>
  <si>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</si>
  <si>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</si>
  <si>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</si>
  <si>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</si>
  <si>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</si>
  <si>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</si>
  <si>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</si>
  <si>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</si>
  <si>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</si>
  <si>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</si>
  <si>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</si>
  <si>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</si>
  <si>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</si>
  <si>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</si>
  <si>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</si>
  <si>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</si>
  <si>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</si>
  <si>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</si>
  <si>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</si>
  <si>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</si>
  <si>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</si>
  <si>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</si>
  <si>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</si>
  <si>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</si>
  <si>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</si>
  <si>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</si>
  <si>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</si>
  <si>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</si>
  <si>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</si>
  <si>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</si>
  <si>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</si>
  <si>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</si>
  <si>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</si>
  <si>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</si>
  <si>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</si>
  <si>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</si>
  <si>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</si>
  <si>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</si>
  <si>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</si>
  <si>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</si>
  <si>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</si>
  <si>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</si>
  <si>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</si>
  <si>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</si>
  <si>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</si>
  <si>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</si>
  <si>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</si>
  <si>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</si>
  <si>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</si>
  <si>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</si>
  <si>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</si>
  <si>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</si>
  <si>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</si>
  <si>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</si>
  <si>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</si>
  <si>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</si>
  <si>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</si>
  <si>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</si>
  <si>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</si>
  <si>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</si>
  <si>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</si>
  <si>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</si>
  <si>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</si>
  <si>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</si>
  <si>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</si>
  <si>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</si>
  <si>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</si>
  <si>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</si>
  <si>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</si>
  <si>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</si>
  <si>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</si>
  <si>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</si>
  <si>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</si>
  <si>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</si>
  <si>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</si>
  <si>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</si>
  <si>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</si>
  <si>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</si>
  <si>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</si>
  <si>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</si>
  <si>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</si>
  <si>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</si>
  <si>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</si>
  <si>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</si>
  <si>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</si>
  <si>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</si>
  <si>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</si>
  <si>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</si>
  <si>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</si>
  <si>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</si>
  <si>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</si>
  <si>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</si>
  <si>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</si>
  <si>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</si>
  <si>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</si>
  <si>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</si>
  <si>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</si>
  <si>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</si>
  <si>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</si>
  <si>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</si>
  <si>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</si>
  <si>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</si>
  <si>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</si>
  <si>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</si>
  <si>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</si>
  <si>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</si>
  <si>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</si>
  <si>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</si>
  <si>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</si>
  <si>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</si>
  <si>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</si>
  <si>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</si>
  <si>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</si>
  <si>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</si>
  <si>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</si>
  <si>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</si>
  <si>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</si>
  <si>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</si>
  <si>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</si>
  <si>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</si>
  <si>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</si>
  <si>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</si>
  <si>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</si>
  <si>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</si>
  <si>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</si>
  <si>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</si>
  <si>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</si>
  <si>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</si>
  <si>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</si>
  <si>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</si>
  <si>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</si>
  <si>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</si>
  <si>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</si>
  <si>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</si>
  <si>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</si>
  <si>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</si>
  <si>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</si>
  <si>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</si>
  <si>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</si>
  <si>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</si>
  <si>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</si>
  <si>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</si>
  <si>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</si>
  <si>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</si>
  <si>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</si>
  <si>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</si>
  <si>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</si>
  <si>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</si>
  <si>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</si>
  <si>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</si>
  <si>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</si>
  <si>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</si>
  <si>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</si>
  <si>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</si>
  <si>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</si>
  <si>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</si>
  <si>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</si>
  <si>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</si>
  <si>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</si>
  <si>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</si>
  <si>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</si>
  <si>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</si>
  <si>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</si>
  <si>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</si>
  <si>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</si>
  <si>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</si>
  <si>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</si>
  <si>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</si>
  <si>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</si>
  <si>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</si>
  <si>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</si>
  <si>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</si>
  <si>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</si>
  <si>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</si>
  <si>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</si>
  <si>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</si>
  <si>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</si>
  <si>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</si>
  <si>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</si>
  <si>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</si>
  <si>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</si>
  <si>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</si>
  <si>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</si>
  <si>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</si>
  <si>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</si>
  <si>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</si>
  <si>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</si>
  <si>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</si>
  <si>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</si>
  <si>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</si>
  <si>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</si>
  <si>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</si>
  <si>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</si>
  <si>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</si>
  <si>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</si>
  <si>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</si>
  <si>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</si>
  <si>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</si>
  <si>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</si>
  <si>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</si>
  <si>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</si>
  <si>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</si>
  <si>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</si>
  <si>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</si>
  <si>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</si>
  <si>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</si>
  <si>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</si>
  <si>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</si>
  <si>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</si>
  <si>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</si>
  <si>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</si>
  <si>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</si>
  <si>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</si>
  <si>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</si>
  <si>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</si>
  <si>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</si>
  <si>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</si>
  <si>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</si>
  <si>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</si>
  <si>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</si>
  <si>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</si>
  <si>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</si>
  <si>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</si>
  <si>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</si>
  <si>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</si>
  <si>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</si>
  <si>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</si>
  <si>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</si>
  <si>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</si>
  <si>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</si>
  <si>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</si>
  <si>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</si>
  <si>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</si>
  <si>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</si>
  <si>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</si>
  <si>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</si>
  <si>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</si>
  <si>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</si>
  <si>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</si>
  <si>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</si>
  <si>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</si>
  <si>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</si>
  <si>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</si>
  <si>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</si>
  <si>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</si>
  <si>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</si>
  <si>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</si>
  <si>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</si>
  <si>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</si>
  <si>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</si>
  <si>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</si>
  <si>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</si>
  <si>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</si>
  <si>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</si>
  <si>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</si>
  <si>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</si>
  <si>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</si>
  <si>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</si>
  <si>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</si>
  <si>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</si>
  <si>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</si>
  <si>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</si>
  <si>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</si>
  <si>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</si>
  <si>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</si>
  <si>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</si>
  <si>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</si>
  <si>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</si>
  <si>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</si>
  <si>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</si>
  <si>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</si>
  <si>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</si>
  <si>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</si>
  <si>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</si>
  <si>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</si>
  <si>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</si>
  <si>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</si>
  <si>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</si>
  <si>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</si>
  <si>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</si>
  <si>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</si>
  <si>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</si>
  <si>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</si>
  <si>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</si>
  <si>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</si>
  <si>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</si>
  <si>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</si>
  <si>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</si>
  <si>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</si>
  <si>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</si>
  <si>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</si>
  <si>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</si>
  <si>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</si>
  <si>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</si>
  <si>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</si>
  <si>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</si>
  <si>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</si>
  <si>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</si>
  <si>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</si>
  <si>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</si>
  <si>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</si>
  <si>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</si>
  <si>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</si>
  <si>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</si>
  <si>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</si>
  <si>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</si>
  <si>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</si>
  <si>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</si>
  <si>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</si>
  <si>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</si>
  <si>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</si>
  <si>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</si>
  <si>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</si>
  <si>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</si>
  <si>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</si>
  <si>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</si>
  <si>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</si>
  <si>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</si>
  <si>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</si>
  <si>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</si>
  <si>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</si>
  <si>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</si>
  <si>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</si>
  <si>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</si>
  <si>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</si>
  <si>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</si>
  <si>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</si>
  <si>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</si>
  <si>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</si>
  <si>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</si>
  <si>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</si>
  <si>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</si>
  <si>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</si>
  <si>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</si>
  <si>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</si>
  <si>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</si>
  <si>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</si>
  <si>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</si>
  <si>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</si>
  <si>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</si>
  <si>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</si>
  <si>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</si>
  <si>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</si>
  <si>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</si>
  <si>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</si>
  <si>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</si>
  <si>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</si>
  <si>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</si>
  <si>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</si>
  <si>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</si>
  <si>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</si>
  <si>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</si>
  <si>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</si>
  <si>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</si>
  <si>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</si>
  <si>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</si>
  <si>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</si>
  <si>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</si>
  <si>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</si>
  <si>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</si>
  <si>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</si>
  <si>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</si>
  <si>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</si>
  <si>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</si>
  <si>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</si>
  <si>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</si>
  <si>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</si>
  <si>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</si>
  <si>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</si>
  <si>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</si>
  <si>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</si>
  <si>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</si>
  <si>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</si>
  <si>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</si>
  <si>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</si>
  <si>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</si>
  <si>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</si>
  <si>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</si>
  <si>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</si>
  <si>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</si>
  <si>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</si>
  <si>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</si>
  <si>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</si>
  <si>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</si>
  <si>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</si>
  <si>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</si>
  <si>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</si>
  <si>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</si>
  <si>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</si>
  <si>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</si>
  <si>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</si>
  <si>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</si>
  <si>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</si>
  <si>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</si>
  <si>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</si>
  <si>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</si>
  <si>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</si>
  <si>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</si>
  <si>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</si>
  <si>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</si>
  <si>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</si>
  <si>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</si>
  <si>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</si>
  <si>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</si>
  <si>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</si>
  <si>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</si>
  <si>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</si>
  <si>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</si>
  <si>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</si>
  <si>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</si>
  <si>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</si>
  <si>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</si>
  <si>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</si>
  <si>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</si>
  <si>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</si>
  <si>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</si>
  <si>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</si>
  <si>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</si>
  <si>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</si>
  <si>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</si>
  <si>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</si>
  <si>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</si>
  <si>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</si>
  <si>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</si>
  <si>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</si>
  <si>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</si>
  <si>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</si>
  <si>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</si>
  <si>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</si>
  <si>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</si>
  <si>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</si>
  <si>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</si>
  <si>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</si>
  <si>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</si>
  <si>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</si>
  <si>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</si>
  <si>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</si>
  <si>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</si>
  <si>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</si>
  <si>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</si>
  <si>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</si>
  <si>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</si>
  <si>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</si>
  <si>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</si>
  <si>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</si>
  <si>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</si>
  <si>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</si>
  <si>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</si>
  <si>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</si>
  <si>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</si>
  <si>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</si>
  <si>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</si>
  <si>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</si>
  <si>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</si>
  <si>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</si>
  <si>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</si>
  <si>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</si>
  <si>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</si>
  <si>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</si>
  <si>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</si>
  <si>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</si>
  <si>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</si>
  <si>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</si>
  <si>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</si>
  <si>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</si>
  <si>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</si>
  <si>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</si>
  <si>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</si>
  <si>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</si>
  <si>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</si>
  <si>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</si>
  <si>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</si>
  <si>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</si>
  <si>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</si>
  <si>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</si>
  <si>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</si>
  <si>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</si>
  <si>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</si>
  <si>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</si>
  <si>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</si>
  <si>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</si>
  <si>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</si>
  <si>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</si>
  <si>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</si>
  <si>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</si>
  <si>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</si>
  <si>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</si>
  <si>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</si>
  <si>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</si>
  <si>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</si>
  <si>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</si>
  <si>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</si>
  <si>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</si>
  <si>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</si>
  <si>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</si>
  <si>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</si>
  <si>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</si>
  <si>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</si>
  <si>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</si>
  <si>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</si>
  <si>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</si>
  <si>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</si>
  <si>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</si>
  <si>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</si>
  <si>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</si>
  <si>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</si>
  <si>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</si>
  <si>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</si>
  <si>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</si>
  <si>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</si>
  <si>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</si>
  <si>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</si>
  <si>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</si>
  <si>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</si>
  <si>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</si>
  <si>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</si>
  <si>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</si>
  <si>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</si>
  <si>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</si>
  <si>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</si>
  <si>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</si>
  <si>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</si>
  <si>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</si>
  <si>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</si>
  <si>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</si>
  <si>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</si>
  <si>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</si>
  <si>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</si>
  <si>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</si>
  <si>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</si>
  <si>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</si>
  <si>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</si>
  <si>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</si>
  <si>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</si>
  <si>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</si>
  <si>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</si>
  <si>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</si>
  <si>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</si>
  <si>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</si>
  <si>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</si>
  <si>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</si>
  <si>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</si>
  <si>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</si>
  <si>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</si>
  <si>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</si>
  <si>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</si>
  <si>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</si>
  <si>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</si>
  <si>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</si>
  <si>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</si>
  <si>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</si>
  <si>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</si>
  <si>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</si>
  <si>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</si>
  <si>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</si>
  <si>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</si>
  <si>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</si>
  <si>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</si>
  <si>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</si>
  <si>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</si>
  <si>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</si>
  <si>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</si>
  <si>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</si>
  <si>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</si>
  <si>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</si>
  <si>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</si>
  <si>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</si>
  <si>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</si>
  <si>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</si>
  <si>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</si>
  <si>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</si>
  <si>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</si>
  <si>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</si>
  <si>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</si>
  <si>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</si>
  <si>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</si>
  <si>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</si>
  <si>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</si>
  <si>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</si>
  <si>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</si>
  <si>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</si>
  <si>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</si>
  <si>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</si>
  <si>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</si>
  <si>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</si>
  <si>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</si>
  <si>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</si>
  <si>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</si>
  <si>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</si>
  <si>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</si>
  <si>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</si>
  <si>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</si>
  <si>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</si>
  <si>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</si>
  <si>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</si>
  <si>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</si>
  <si>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</si>
  <si>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</si>
  <si>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</si>
  <si>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</si>
  <si>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</si>
  <si>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</si>
  <si>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</si>
  <si>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</si>
  <si>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</si>
  <si>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</si>
  <si>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</si>
  <si>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</si>
  <si>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</si>
  <si>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</si>
  <si>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</si>
  <si>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</si>
  <si>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</si>
  <si>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</si>
  <si>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</si>
  <si>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</si>
  <si>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</si>
  <si>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</si>
  <si>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</si>
  <si>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</si>
  <si>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</si>
  <si>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</si>
  <si>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</si>
  <si>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</si>
  <si>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</si>
  <si>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</si>
  <si>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</si>
  <si>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</si>
  <si>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</si>
  <si>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</si>
  <si>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</si>
  <si>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</si>
  <si>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</si>
  <si>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</si>
  <si>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</si>
  <si>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</si>
  <si>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</si>
  <si>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</si>
  <si>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</si>
  <si>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</si>
  <si>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</si>
  <si>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</si>
  <si>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</si>
  <si>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</si>
  <si>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</si>
  <si>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</si>
  <si>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</si>
  <si>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</si>
  <si>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</si>
  <si>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</si>
  <si>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</si>
  <si>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</si>
  <si>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</si>
  <si>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</si>
  <si>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</si>
  <si>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</si>
  <si>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</si>
  <si>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</si>
  <si>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</si>
  <si>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</si>
  <si>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</si>
  <si>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</si>
  <si>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</si>
  <si>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</si>
  <si>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</si>
  <si>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</si>
  <si>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</si>
  <si>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</si>
  <si>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</si>
  <si>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</si>
  <si>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</si>
  <si>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</si>
  <si>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</si>
  <si>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</si>
  <si>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</si>
  <si>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</si>
  <si>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</si>
  <si>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</si>
  <si>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</si>
  <si>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</si>
  <si>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</si>
  <si>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</si>
  <si>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</si>
  <si>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</si>
  <si>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</si>
  <si>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</si>
  <si>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</si>
  <si>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</si>
  <si>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</si>
  <si>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</si>
  <si>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</si>
  <si>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</si>
  <si>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</si>
  <si>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</si>
  <si>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</si>
  <si>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</si>
  <si>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</si>
  <si>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</si>
  <si>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</si>
  <si>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</si>
  <si>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</si>
  <si>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</si>
  <si>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</si>
  <si>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</si>
  <si>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</si>
  <si>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</si>
  <si>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</si>
  <si>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</si>
  <si>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</si>
  <si>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</si>
  <si>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</si>
  <si>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</si>
  <si>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</si>
  <si>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</si>
  <si>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</si>
  <si>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</si>
  <si>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</si>
  <si>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</si>
  <si>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</si>
  <si>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</si>
  <si>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</si>
  <si>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</si>
  <si>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</si>
  <si>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</si>
  <si>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</si>
  <si>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</si>
  <si>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</si>
  <si>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</si>
  <si>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</si>
  <si>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</si>
  <si>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</si>
  <si>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</si>
  <si>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</si>
  <si>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</si>
  <si>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</si>
  <si>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</si>
  <si>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</si>
  <si>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</si>
  <si>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</si>
  <si>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</si>
  <si>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</si>
  <si>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</si>
  <si>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</si>
  <si>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</si>
  <si>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</si>
  <si>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</si>
  <si>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</si>
  <si>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</si>
  <si>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</si>
  <si>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</si>
  <si>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</si>
  <si>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</si>
  <si>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</si>
  <si>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</si>
  <si>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</si>
  <si>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</si>
  <si>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</si>
  <si>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</si>
  <si>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</si>
  <si>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</si>
  <si>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</si>
  <si>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</si>
  <si>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</si>
  <si>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</si>
  <si>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</si>
  <si>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</si>
  <si>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</si>
  <si>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</si>
  <si>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</si>
  <si>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</si>
  <si>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</si>
  <si>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</si>
  <si>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</si>
  <si>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</si>
  <si>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</si>
  <si>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</si>
  <si>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</si>
  <si>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</si>
  <si>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</si>
  <si>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</si>
  <si>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</si>
  <si>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</si>
  <si>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</si>
  <si>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</si>
  <si>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</si>
  <si>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</si>
  <si>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</si>
  <si>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</si>
  <si>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</si>
  <si>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</si>
  <si>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</si>
  <si>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</si>
  <si>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</si>
  <si>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</si>
  <si>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</si>
  <si>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</si>
  <si>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</si>
  <si>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</si>
  <si>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</si>
  <si>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</si>
  <si>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</si>
  <si>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</si>
  <si>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</si>
  <si>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</si>
  <si>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</si>
  <si>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</si>
  <si>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</si>
  <si>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</si>
  <si>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</si>
  <si>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</si>
  <si>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</si>
  <si>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</si>
  <si>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商业</t>
  </si>
  <si>
    <t>商业项目</t>
  </si>
  <si>
    <t>通路</t>
  </si>
  <si>
    <t>通电</t>
  </si>
  <si>
    <t>通讯</t>
  </si>
  <si>
    <t>通上水</t>
  </si>
  <si>
    <t>通下水</t>
  </si>
  <si>
    <t>地上</t>
  </si>
  <si>
    <t>办公楼</t>
  </si>
  <si>
    <t>A1地块</t>
    <phoneticPr fontId="3" type="noConversion"/>
  </si>
  <si>
    <t>办公</t>
    <phoneticPr fontId="7" type="noConversion"/>
  </si>
  <si>
    <t>不动产收益法</t>
  </si>
  <si>
    <t>土地（套用方法）</t>
  </si>
  <si>
    <t>押一</t>
  </si>
  <si>
    <t>按租金收入计税</t>
  </si>
  <si>
    <t>钢混</t>
  </si>
  <si>
    <t>比较法-住宅、综合</t>
  </si>
  <si>
    <t>剩余法-待开发</t>
  </si>
  <si>
    <t>项目全部</t>
  </si>
  <si>
    <t>土地</t>
  </si>
  <si>
    <t>1层</t>
    <phoneticPr fontId="228" type="noConversion"/>
  </si>
  <si>
    <t>2层</t>
    <phoneticPr fontId="228" type="noConversion"/>
  </si>
  <si>
    <t>3层</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</si>
  <si>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</si>
  <si>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</si>
  <si>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</si>
  <si>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</si>
  <si>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</si>
  <si>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</si>
  <si>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</si>
  <si>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</si>
  <si>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</si>
  <si>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</si>
  <si>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</si>
  <si>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</si>
  <si>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高新区蓼河路以西、山博路以北</t>
  </si>
  <si>
    <t>济宁市</t>
  </si>
  <si>
    <t>商业/办公用地</t>
  </si>
  <si>
    <t>≤1.2</t>
  </si>
  <si>
    <t>挂牌</t>
  </si>
  <si>
    <t>2019-05-23</t>
  </si>
  <si>
    <t>济宁华都金达置业有限公司</t>
  </si>
  <si>
    <t>太白湖新区运河路以东、老运河以西、古桥西路以北</t>
  </si>
  <si>
    <t>≤2.5</t>
  </si>
  <si>
    <t>2019-05-22</t>
  </si>
  <si>
    <t>新城控股集团企业管理有限公司</t>
  </si>
  <si>
    <t>太白湖新区济安桥南路东、京杭路北</t>
  </si>
  <si>
    <t>≤2.4</t>
  </si>
  <si>
    <t>2019-01-18</t>
  </si>
  <si>
    <t>济宁新城顺达商业有限责任公司</t>
  </si>
  <si>
    <t>太白湖新区廉庄路东、火炬路西、东赵路南</t>
  </si>
  <si>
    <t>2018-12-26</t>
  </si>
  <si>
    <t>朱怀磊</t>
  </si>
  <si>
    <t>太白湖新区徐庄街道会通路以东、廉庄路以西、东赵路以南</t>
  </si>
  <si>
    <t>太白湖新区渔皇路南、运河路西、京杭路北</t>
  </si>
  <si>
    <t>≤2</t>
  </si>
  <si>
    <t>2018-12-12</t>
  </si>
  <si>
    <t>济宁市新城发展投资有限责任公司</t>
  </si>
  <si>
    <t>济宁高新区创业公寓以西,群英路以南</t>
  </si>
  <si>
    <t>2018-11-14</t>
  </si>
  <si>
    <t>济宁市中盈环保科技有限公司</t>
  </si>
  <si>
    <t>太白湖新区许庄街道京杭路、谭岗路以西、北湖新河以南</t>
  </si>
  <si>
    <t>≤0.8</t>
  </si>
  <si>
    <t>2018-09-20</t>
  </si>
  <si>
    <t>中国石化销售有限公司山东济宁石油分公司</t>
  </si>
  <si>
    <t>祥州路以南、规划共青路以东</t>
  </si>
  <si>
    <t>≤0.4</t>
  </si>
  <si>
    <t>2018-07-20</t>
  </si>
  <si>
    <t>济宁骏泉经贸有限公司</t>
  </si>
  <si>
    <t>居礼路南、安康路东</t>
  </si>
  <si>
    <t>2018-07-06</t>
  </si>
  <si>
    <t>山东省济宁交通运输集团有限公司</t>
  </si>
  <si>
    <t>廖河路以西、嘉达路以南</t>
  </si>
  <si>
    <t>山东海达开发建设股份有限公司</t>
  </si>
  <si>
    <t>火炬路以东、金宇路以南</t>
  </si>
  <si>
    <t>≤3.5</t>
  </si>
  <si>
    <t>2017-12-27</t>
  </si>
  <si>
    <t>山东省少年梦文化发展股份有限公司</t>
  </si>
  <si>
    <t>京杭路以南、运河路以西</t>
  </si>
  <si>
    <t>≤1.7</t>
  </si>
  <si>
    <t>2017-12-01</t>
  </si>
  <si>
    <t>山东鲁泰控股集团有限公司</t>
  </si>
  <si>
    <t>济宁经济开发区-2016-010宗地</t>
  </si>
  <si>
    <t>≤2.6</t>
  </si>
  <si>
    <t>2017-11-10</t>
  </si>
  <si>
    <t>济宁经济开发区城市建设有限公司</t>
  </si>
  <si>
    <t>济宁经济开发区-2017-008宗地</t>
  </si>
  <si>
    <t>≤2.1</t>
  </si>
  <si>
    <t>济宁祥城投资开发有限责任公司</t>
  </si>
  <si>
    <t>楼面地价</t>
  </si>
  <si>
    <t>回购</t>
    <phoneticPr fontId="26" type="noConversion"/>
  </si>
  <si>
    <t>有</t>
    <phoneticPr fontId="26" type="noConversion"/>
  </si>
  <si>
    <t>无</t>
    <phoneticPr fontId="26" type="noConversion"/>
  </si>
  <si>
    <t>王鹏</t>
  </si>
  <si>
    <t>赵雯</t>
  </si>
  <si>
    <t>国民信托</t>
    <phoneticPr fontId="6" type="noConversion"/>
  </si>
  <si>
    <t>济宁金讯置业有限公司</t>
    <phoneticPr fontId="6" type="noConversion"/>
  </si>
  <si>
    <t>其他：</t>
  </si>
  <si>
    <t>山东省</t>
    <phoneticPr fontId="6" type="noConversion"/>
  </si>
  <si>
    <t>济宁市洸府河以东，红星路以南</t>
    <phoneticPr fontId="6" type="noConversion"/>
  </si>
  <si>
    <t>企业</t>
  </si>
  <si>
    <t>商服用地</t>
    <phoneticPr fontId="6" type="noConversion"/>
  </si>
  <si>
    <t>《不动产权证书》[鲁（2017）济宁市不动产权第0030929号]</t>
    <phoneticPr fontId="6" type="noConversion"/>
  </si>
  <si>
    <t>商业、办公</t>
    <phoneticPr fontId="6" type="noConversion"/>
  </si>
  <si>
    <t>一致</t>
  </si>
  <si>
    <t>否</t>
  </si>
  <si>
    <t>场地平整</t>
  </si>
  <si>
    <t>平整</t>
  </si>
  <si>
    <t>独立商业</t>
  </si>
  <si>
    <t>酒店</t>
  </si>
  <si>
    <t>商业</t>
    <phoneticPr fontId="7" type="noConversion"/>
  </si>
  <si>
    <t>酒店</t>
    <phoneticPr fontId="7" type="noConversion"/>
  </si>
  <si>
    <t>回购商业办公用房</t>
  </si>
  <si>
    <t>回购商业办公用房</t>
    <phoneticPr fontId="7" type="noConversion"/>
  </si>
  <si>
    <t>4层</t>
    <phoneticPr fontId="228" type="noConversion"/>
  </si>
  <si>
    <t>5层</t>
    <phoneticPr fontId="228" type="noConversion"/>
  </si>
  <si>
    <t>6层</t>
    <phoneticPr fontId="228"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</si>
  <si>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</si>
  <si>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</si>
  <si>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26" type="noConversion"/>
  </si>
  <si>
    <t>高新区</t>
    <phoneticPr fontId="3" type="noConversion"/>
  </si>
  <si>
    <t>40</t>
    <phoneticPr fontId="26" type="noConversion"/>
  </si>
  <si>
    <t>一般</t>
  </si>
  <si>
    <t>较差</t>
  </si>
  <si>
    <t>七通</t>
  </si>
  <si>
    <t>高速公路</t>
    <phoneticPr fontId="26" type="noConversion"/>
  </si>
  <si>
    <t>城市快速路</t>
    <phoneticPr fontId="26" type="noConversion"/>
  </si>
  <si>
    <t>城市主干道</t>
    <phoneticPr fontId="26" type="noConversion"/>
  </si>
  <si>
    <t>城市次干道</t>
  </si>
  <si>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</si>
  <si>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</si>
  <si>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</si>
  <si>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</si>
  <si>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</si>
  <si>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</si>
  <si>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</si>
  <si>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</si>
  <si>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</si>
  <si>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</si>
  <si>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</si>
  <si>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</si>
  <si>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</si>
  <si>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</si>
  <si>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</si>
  <si>
    <t>五通</t>
    <phoneticPr fontId="26" type="noConversion"/>
  </si>
  <si>
    <t>四通</t>
    <phoneticPr fontId="26" type="noConversion"/>
  </si>
  <si>
    <t>较好</t>
  </si>
  <si>
    <t>较好</t>
    <phoneticPr fontId="26" type="noConversion"/>
  </si>
  <si>
    <t>太白湖新区</t>
    <phoneticPr fontId="3" type="noConversion"/>
  </si>
  <si>
    <t>40</t>
    <phoneticPr fontId="26" type="noConversion"/>
  </si>
  <si>
    <t>无</t>
    <phoneticPr fontId="26" type="noConversion"/>
  </si>
  <si>
    <t>情况3</t>
  </si>
  <si>
    <t>正常</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</si>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</sst>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86" fillId="0" borderId="0" xfId="16"/>
    <xf numFmtId="0" fontId="86" fillId="6" borderId="0" xfId="16" applyFill="1"/>
    <xf numFmtId="0" fontId="0" fillId="6" borderId="0" xfId="0" applyFill="1">
      <alignment vertical="center"/>
    </xf>
    <xf numFmtId="0" fontId="86" fillId="17" borderId="0" xfId="16" applyFill="1"/>
    <xf numFmtId="0" fontId="0" fillId="17" borderId="0" xfId="0" applyFill="1">
      <alignment vertical="center"/>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71" fillId="17" borderId="11" xfId="0"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933451</xdr:colOff>
      <xdr:row>25</xdr:row>
      <xdr:rowOff>161925</xdr:rowOff>
    </xdr:from>
    <xdr:to>
      <xdr:col>13</xdr:col>
      <xdr:colOff>609601</xdr:colOff>
      <xdr:row>56</xdr:row>
      <xdr:rowOff>163254</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a:stretch>
          <a:fillRect/>
        </a:stretch>
      </xdr:blipFill>
      <xdr:spPr>
        <a:xfrm>
          <a:off x="933451" y="4448175"/>
          <a:ext cx="9525000" cy="53162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82;&#23425;&#34917;&#20805;&#25269;&#25276;&#29289;-&#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3972.57</v>
          </cell>
          <cell r="C14">
            <v>5346</v>
          </cell>
          <cell r="D14">
            <v>1811</v>
          </cell>
          <cell r="G14">
            <v>1811</v>
          </cell>
          <cell r="H14" t="str">
            <v>——</v>
          </cell>
          <cell r="I14">
            <v>1708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2651</v>
      </c>
      <c r="B1" s="2845" t="s">
        <v>2748</v>
      </c>
    </row>
    <row r="2" spans="1:55" s="2849" customFormat="1" ht="15" thickTop="1">
      <c r="A2" s="2847" t="s">
        <v>2655</v>
      </c>
      <c r="B2" s="2848" t="str">
        <f>'预评函-封皮'!B37</f>
        <v>山东省济宁市洸府河以东，红星路以南出让国有建设用地使用权抵押价格预评估</v>
      </c>
      <c r="AX2" s="2850"/>
      <c r="AZ2" s="2850"/>
      <c r="BA2" s="2851"/>
      <c r="BC2" s="2851"/>
    </row>
    <row r="3" spans="1:55" s="2852" customFormat="1">
      <c r="A3" s="2831" t="s">
        <v>2656</v>
      </c>
      <c r="B3" s="2834" t="str">
        <f>'预评函-封皮'!B40</f>
        <v>国民信托</v>
      </c>
    </row>
    <row r="4" spans="1:55" s="2833" customFormat="1">
      <c r="A4" s="2831" t="s">
        <v>2657</v>
      </c>
      <c r="B4" s="2832" t="str">
        <f>'预评函-封皮'!B46</f>
        <v>王鹏、赵雯</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2658</v>
      </c>
      <c r="B5" s="2854" t="str">
        <f>'预评函-封皮'!B49</f>
        <v>康正预评字号</v>
      </c>
    </row>
    <row r="6" spans="1:55" s="2855" customFormat="1" ht="15" thickTop="1">
      <c r="A6" s="2847" t="s">
        <v>2700</v>
      </c>
      <c r="B6" s="2848" t="str">
        <f>'预评函-1'!A4</f>
        <v>受贵公司委托，我公司对山东省济宁市洸府河以东，红星路以南出让国有建设用地使用权抵押价格进行了预评估。</v>
      </c>
      <c r="AM6" s="2856"/>
    </row>
    <row r="7" spans="1:55" s="2830" customFormat="1">
      <c r="A7" s="2831" t="s">
        <v>2652</v>
      </c>
      <c r="B7" s="2832" t="str">
        <f>'预评函-1'!A6</f>
        <v>估价对象为济宁金讯置业有限公司使用的、位于山东省济宁市洸府河以东，红星路以南出让国有建设用地使用权。根据《国有土地使用证》[]，估价对象（分摊）出让国有建设用地使用权面积为21485平方米。根据《建设工程规划许可证》[]、《出让合同》[]，估价对象规划建筑面积为148301.93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2019年7月5日（评估专业人员勘察现场之日）</v>
      </c>
    </row>
    <row r="11" spans="1:55" s="2830" customFormat="1">
      <c r="A11" s="2831" t="s">
        <v>2660</v>
      </c>
      <c r="B11" s="2832" t="str">
        <f>'预评函-1'!A14</f>
        <v>根据《不动产权证书》[鲁（2017）济宁市不动产权第0030929号]，本次评估估价对象证载（地类）用途为商服用地。</v>
      </c>
    </row>
    <row r="12" spans="1:55" s="2830" customFormat="1">
      <c r="A12" s="2831" t="s">
        <v>2661</v>
      </c>
      <c r="B12" s="2832" t="str">
        <f>'预评函-1'!A15</f>
        <v>本次评估设定用途即为证载用途商业、办公。</v>
      </c>
    </row>
    <row r="13" spans="1:55" s="2830" customFormat="1">
      <c r="A13" s="2831" t="s">
        <v>2662</v>
      </c>
      <c r="B13" s="2832" t="str">
        <f>'预评函-1'!A17</f>
        <v>根据委托估价方介绍及评估专业人员现场勘查，本次评估估价对象实际土地开发程度为红线外市政基础设施达“五通”（即通路、通电、通讯、通上水、通下水）、宗地红线内场地平整。</v>
      </c>
    </row>
    <row r="14" spans="1:55" s="2830" customFormat="1">
      <c r="A14" s="2831" t="s">
        <v>2663</v>
      </c>
      <c r="B14" s="2832" t="str">
        <f>'预评函-1'!A18</f>
        <v>本次评估设定土地开发程度为红线外市政基础设施达“五通”、宗地红线内场地平整。</v>
      </c>
    </row>
    <row r="15" spans="1:55" s="2830" customFormat="1">
      <c r="A15" s="2831" t="s">
        <v>2659</v>
      </c>
      <c r="B15" s="2832" t="str">
        <f>'预评函-1'!A20</f>
        <v>根据《国有土地使用证》[]，估价对象（分摊）出让国有建设用地使用权面积为21485平方米。根据《建设工程规划许可证》[]、《出让合同》[]，估价对象规划建筑面积为148301.93平方米。</v>
      </c>
    </row>
    <row r="16" spans="1:55" s="2830" customFormat="1">
      <c r="A16" s="2831" t="s">
        <v>2664</v>
      </c>
      <c r="B16" s="2832" t="str">
        <f>'预评函-1'!A22</f>
        <v>本次估价对象为出让国有建设用地使用权，《不动产权证书》[鲁（2017）济宁市不动产权第0030929号]证载土地终止日期为商业2057年3月30日。截至估价期日，出让国有建设用地使用权剩余土地使用年限为。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2669</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估价期日：2019年7月5日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t="str">
        <f>'预评函-2'!E5</f>
        <v>商服用地</v>
      </c>
      <c r="AV32" s="2836"/>
    </row>
    <row r="33" spans="1:2">
      <c r="A33" s="2831" t="s">
        <v>2708</v>
      </c>
      <c r="B33" s="2832">
        <f>'预评函-2'!F5</f>
        <v>258</v>
      </c>
    </row>
    <row r="34" spans="1:2">
      <c r="A34" s="2831" t="s">
        <v>2709</v>
      </c>
      <c r="B34" s="2832" t="str">
        <f>'预评函-2'!G5</f>
        <v>商业、办公</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红线外五通、宗地红线内场地平整</v>
      </c>
    </row>
    <row r="39" spans="1:2">
      <c r="A39" s="2831" t="s">
        <v>2714</v>
      </c>
      <c r="B39" s="2832" t="str">
        <f>'预评函-2'!L5</f>
        <v>红线外五通、宗地红线内场地平整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21485</v>
      </c>
    </row>
    <row r="44" spans="1:2">
      <c r="A44" s="2831" t="s">
        <v>2735</v>
      </c>
      <c r="B44" s="2832" t="str">
        <f>'预评函-2'!O3</f>
        <v>规划建筑面积/㎡</v>
      </c>
    </row>
    <row r="45" spans="1:2">
      <c r="A45" s="2831" t="s">
        <v>2717</v>
      </c>
      <c r="B45" s="2832">
        <f>'预评函-2'!O5</f>
        <v>148301.93</v>
      </c>
    </row>
    <row r="46" spans="1:2">
      <c r="A46" s="2831" t="s">
        <v>2718</v>
      </c>
      <c r="B46" s="2832">
        <f ca="1">'预评函-2'!P5</f>
        <v>5632</v>
      </c>
    </row>
    <row r="47" spans="1:2">
      <c r="A47" s="2831" t="s">
        <v>2719</v>
      </c>
      <c r="B47" s="2832">
        <f ca="1">'预评函-2'!Q5</f>
        <v>816</v>
      </c>
    </row>
    <row r="48" spans="1:2">
      <c r="A48" s="2831" t="s">
        <v>2720</v>
      </c>
      <c r="B48" s="2832">
        <f ca="1">'预评函-2'!R5</f>
        <v>12101</v>
      </c>
    </row>
    <row r="49" spans="1:2">
      <c r="A49" s="2831" t="s">
        <v>2736</v>
      </c>
      <c r="B49" s="2832" t="str">
        <f>'预评函-2'!A6</f>
        <v>抵押价格</v>
      </c>
    </row>
    <row r="50" spans="1:2">
      <c r="A50" s="2831" t="s">
        <v>2721</v>
      </c>
      <c r="B50" s="2832">
        <f ca="1">'预评函-2'!R6</f>
        <v>12101</v>
      </c>
    </row>
    <row r="51" spans="1:2">
      <c r="A51" s="2831" t="s">
        <v>2737</v>
      </c>
      <c r="B51" s="2832" t="str">
        <f>'预评函-2'!A7</f>
        <v>——</v>
      </c>
    </row>
    <row r="52" spans="1:2">
      <c r="A52" s="2831" t="s">
        <v>2722</v>
      </c>
      <c r="B52" s="2832" t="str">
        <f>'预评函-2'!R7</f>
        <v>——</v>
      </c>
    </row>
    <row r="53" spans="1:2">
      <c r="A53" s="2831" t="s">
        <v>2738</v>
      </c>
      <c r="B53" s="2832" t="str">
        <f>'预评函-2'!A8</f>
        <v>抵押净值</v>
      </c>
    </row>
    <row r="54" spans="1:2" s="2846" customFormat="1" ht="15" thickBot="1">
      <c r="A54" s="2853" t="s">
        <v>2723</v>
      </c>
      <c r="B54" s="2854">
        <f ca="1">'预评函-2'!R8</f>
        <v>10887</v>
      </c>
    </row>
    <row r="55" spans="1:2" ht="15" thickTop="1">
      <c r="A55" s="2842" t="s">
        <v>2673</v>
      </c>
      <c r="B55" s="2843" t="str">
        <f>'预评函-3'!A2</f>
        <v>1.权利限制：根据估价对象《不动产权证书》原件、，截至估价期日，估价对象抵押权未见登记。未设定租赁等其他他项权利。</v>
      </c>
    </row>
    <row r="56" spans="1:2">
      <c r="A56" s="2831" t="s">
        <v>2674</v>
      </c>
      <c r="B56" s="2832" t="str">
        <f>'预评函-3'!A3</f>
        <v>2.基础设施条件：估价对象实际开发程度为红线外五通、宗地红线内场地平整；本次评估设定开发程度为红线外五通、宗地红线内场地平整。</v>
      </c>
    </row>
    <row r="57" spans="1:2">
      <c r="A57" s="2831" t="s">
        <v>2675</v>
      </c>
      <c r="B57" s="2832" t="str">
        <f>'预评函-3'!A4</f>
        <v>3.估价规划限制条件：详见《建设工程规划许可证》[]、《出让合同》[]。</v>
      </c>
    </row>
    <row r="58" spans="1:2" s="2846" customFormat="1" ht="15" thickBot="1">
      <c r="A58" s="2853" t="s">
        <v>2724</v>
      </c>
      <c r="B58" s="2854" t="str">
        <f>'预评函-3'!A5</f>
        <v>4.影响价格的其他限定条件：无。</v>
      </c>
    </row>
    <row r="59" spans="1:2" ht="1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（1）根据估价对象《不动产权证书》原件、，截至估价期日，估价对象抵押权未见登记。</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2687</v>
      </c>
      <c r="B68" s="2857">
        <f>'预评函-3'!D30</f>
        <v>42558</v>
      </c>
    </row>
    <row r="69" spans="1:2" ht="15" thickTop="1">
      <c r="A69" s="2842" t="s">
        <v>2685</v>
      </c>
      <c r="B69" s="2843" t="str">
        <f>'预评函-3'!A20</f>
        <v>王鹏</v>
      </c>
    </row>
    <row r="70" spans="1:2">
      <c r="A70" s="2831" t="s">
        <v>2685</v>
      </c>
      <c r="B70" s="2838">
        <f ca="1">'预评函-3'!B20</f>
        <v>2002110030</v>
      </c>
    </row>
    <row r="71" spans="1:2">
      <c r="A71" s="2831" t="s">
        <v>2686</v>
      </c>
      <c r="B71" s="2832" t="str">
        <f>'预评函-3'!A21</f>
        <v>赵雯</v>
      </c>
    </row>
    <row r="72" spans="1:2" s="2846" customFormat="1" ht="15" thickBot="1">
      <c r="A72" s="2853" t="s">
        <v>2686</v>
      </c>
      <c r="B72" s="2859">
        <f ca="1">'预评函-3'!B21</f>
        <v>2011110090</v>
      </c>
    </row>
    <row r="73" spans="1:2" ht="1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由于本次评估估价目的是评估储备国有建设用地使用权的“抵押价格”，因此本次评估设定土地开发程度为红线外市政基础设施达“五通”、宗地红线内场地平整。</v>
      </c>
    </row>
    <row r="75" spans="1:2" s="2846" customFormat="1" ht="1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1936</v>
      </c>
      <c r="B1" s="3247" t="str">
        <f>IF(B10="北京市","北京市",C10)&amp;F10&amp;B16&amp;"国有建设用地使用权"&amp;B9&amp;"预评估"</f>
        <v>山东省济宁市洸府河以东，红星路以南出让国有建设用地使用权抵押价格预评估</v>
      </c>
      <c r="C1" s="3248"/>
      <c r="D1" s="3248"/>
      <c r="E1" s="3248"/>
      <c r="F1" s="3248"/>
      <c r="G1" s="3248"/>
      <c r="H1" s="3248"/>
      <c r="I1" s="3249"/>
      <c r="J1" s="1676"/>
      <c r="K1" s="2417" t="str">
        <f>IF(B10="北京市","北京市",C10)&amp;F10&amp;B16&amp;"国有建设用地使用权"&amp;B9</f>
        <v>山东省济宁市洸府河以东，红星路以南出让国有建设用地使用权抵押价格</v>
      </c>
      <c r="L1" s="1705"/>
      <c r="M1" s="1705"/>
      <c r="N1" s="1676"/>
      <c r="O1" s="1677"/>
      <c r="P1" s="1676"/>
      <c r="Q1" s="1676"/>
      <c r="R1" s="1676"/>
      <c r="S1" s="1676"/>
      <c r="T1" s="1676"/>
      <c r="U1" s="1676"/>
    </row>
    <row r="2" spans="1:21">
      <c r="A2" s="1643" t="s">
        <v>1937</v>
      </c>
      <c r="B2" s="1824"/>
      <c r="D2" s="1676"/>
      <c r="E2" s="1676"/>
      <c r="F2" s="1676"/>
      <c r="G2" s="1676"/>
      <c r="H2" s="1643"/>
      <c r="I2" s="1677"/>
      <c r="J2" s="1676"/>
      <c r="K2" s="2417" t="str">
        <f>IF(B10="北京市","北京市",C10)&amp;F10&amp;B16&amp;"国有建设用地使用权"</f>
        <v>山东省济宁市洸府河以东，红星路以南出让国有建设用地使用权</v>
      </c>
      <c r="L2" s="1705"/>
      <c r="M2" s="1705"/>
      <c r="N2" s="1676"/>
      <c r="O2" s="1677"/>
      <c r="P2" s="1676"/>
      <c r="Q2" s="1676"/>
      <c r="R2" s="1676"/>
      <c r="S2" s="1676"/>
      <c r="T2" s="1676"/>
      <c r="U2" s="1676"/>
    </row>
    <row r="3" spans="1:21">
      <c r="A3" s="1644" t="s">
        <v>1938</v>
      </c>
      <c r="B3" s="1645">
        <v>43651</v>
      </c>
      <c r="C3" s="1646" t="s">
        <v>1993</v>
      </c>
      <c r="D3" s="1645">
        <f>B3</f>
        <v>43651</v>
      </c>
      <c r="E3" s="1676"/>
      <c r="F3" s="1676"/>
      <c r="G3" s="1676"/>
      <c r="H3" s="1643"/>
      <c r="I3" s="1677"/>
      <c r="J3" s="1676"/>
      <c r="K3" s="1756"/>
      <c r="L3" s="1705"/>
      <c r="M3" s="1705"/>
      <c r="N3" s="1676"/>
      <c r="O3" s="1677"/>
      <c r="P3" s="1676"/>
      <c r="Q3" s="1676"/>
      <c r="R3" s="1676"/>
      <c r="S3" s="1676"/>
      <c r="T3" s="1676"/>
      <c r="U3" s="1676"/>
    </row>
    <row r="4" spans="1:21" ht="15" thickBot="1">
      <c r="A4" s="1647" t="s">
        <v>1939</v>
      </c>
      <c r="B4" s="1825" t="s">
        <v>3083</v>
      </c>
      <c r="C4" s="1828">
        <f ca="1">SUMIF(土地估价师,B4,估价师及机构信息!E3:E24)</f>
        <v>2002110030</v>
      </c>
      <c r="D4" s="1825" t="s">
        <v>3084</v>
      </c>
      <c r="E4" s="1828">
        <f ca="1">SUMIF(土地估价师,D4,估价师及机构信息!E3:E24)</f>
        <v>2011110090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王鹏、赵雯</v>
      </c>
      <c r="L4" s="1705"/>
      <c r="M4" s="1705"/>
      <c r="N4" s="1676"/>
      <c r="O4" s="1677"/>
      <c r="P4" s="1676"/>
      <c r="Q4" s="1676"/>
      <c r="R4" s="1676"/>
      <c r="S4" s="1676"/>
      <c r="T4" s="1676"/>
      <c r="U4" s="1676"/>
    </row>
    <row r="5" spans="1:21" ht="15" thickTop="1">
      <c r="A5" s="1648" t="s">
        <v>1940</v>
      </c>
      <c r="B5" s="1771" t="s">
        <v>3085</v>
      </c>
      <c r="C5" s="1649"/>
      <c r="D5" s="1650"/>
      <c r="E5" s="1676"/>
      <c r="F5" s="1676"/>
      <c r="G5" s="1676"/>
      <c r="H5" s="1643"/>
      <c r="I5" s="1677"/>
      <c r="J5" s="1676"/>
      <c r="K5" s="1756"/>
      <c r="L5" s="1705"/>
      <c r="M5" s="1705"/>
      <c r="N5" s="1676"/>
      <c r="O5" s="1677"/>
      <c r="P5" s="1676"/>
      <c r="Q5" s="1676"/>
      <c r="R5" s="1676"/>
      <c r="S5" s="1676"/>
      <c r="T5" s="1676"/>
      <c r="U5" s="1676"/>
    </row>
    <row r="6" spans="1:21" ht="26.25">
      <c r="A6" s="1646" t="s">
        <v>2701</v>
      </c>
      <c r="B6" s="1771" t="str">
        <f>B5</f>
        <v>国民信托</v>
      </c>
      <c r="C6" s="1743"/>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2702</v>
      </c>
      <c r="B7" s="1771" t="s">
        <v>3086</v>
      </c>
      <c r="C7" s="1743"/>
      <c r="D7" s="1651"/>
      <c r="E7" s="1676"/>
      <c r="F7" s="1676"/>
      <c r="G7" s="1676"/>
      <c r="H7" s="1643"/>
      <c r="I7" s="1677"/>
      <c r="J7" s="1676"/>
      <c r="K7" s="1756"/>
      <c r="L7" s="1705"/>
      <c r="M7" s="1705"/>
      <c r="N7" s="1676"/>
      <c r="O7" s="1677"/>
      <c r="P7" s="1676"/>
      <c r="Q7" s="1676"/>
      <c r="R7" s="1676"/>
      <c r="S7" s="1676"/>
      <c r="T7" s="1676"/>
      <c r="U7" s="1676"/>
    </row>
    <row r="8" spans="1:21">
      <c r="A8" s="1652" t="s">
        <v>1941</v>
      </c>
      <c r="B8" s="1653" t="s">
        <v>2988</v>
      </c>
      <c r="C8" s="1654"/>
      <c r="D8" s="3253" t="s">
        <v>1943</v>
      </c>
      <c r="E8" s="1826" t="s">
        <v>2989</v>
      </c>
      <c r="F8" s="1655"/>
      <c r="G8" s="1643"/>
      <c r="H8" s="1643"/>
      <c r="I8" s="1689"/>
      <c r="J8" s="1676"/>
      <c r="K8" s="1756"/>
      <c r="L8" s="1705"/>
      <c r="M8" s="1705"/>
      <c r="N8" s="1676"/>
      <c r="O8" s="1677"/>
      <c r="P8" s="1676"/>
      <c r="Q8" s="1676"/>
      <c r="R8" s="1676"/>
      <c r="S8" s="1676"/>
      <c r="T8" s="1676"/>
      <c r="U8" s="1676"/>
    </row>
    <row r="9" spans="1:21" ht="15" thickBot="1">
      <c r="A9" s="1656" t="s">
        <v>1942</v>
      </c>
      <c r="B9" s="1657" t="s">
        <v>2989</v>
      </c>
      <c r="C9" s="1658"/>
      <c r="D9" s="3254"/>
      <c r="E9" s="1657" t="s">
        <v>2849</v>
      </c>
      <c r="F9" s="1729"/>
      <c r="G9" s="1724"/>
      <c r="H9" s="1724"/>
      <c r="I9" s="1725"/>
      <c r="J9" s="1676"/>
      <c r="K9" s="1756"/>
      <c r="L9" s="1705"/>
      <c r="M9" s="1705"/>
      <c r="N9" s="1676"/>
      <c r="O9" s="1677"/>
      <c r="P9" s="1676"/>
      <c r="Q9" s="1676"/>
      <c r="R9" s="1676"/>
      <c r="S9" s="1676"/>
      <c r="T9" s="1676"/>
      <c r="U9" s="1676"/>
    </row>
    <row r="10" spans="1:21" ht="15" thickTop="1">
      <c r="A10" s="1726" t="s">
        <v>1997</v>
      </c>
      <c r="B10" s="1701" t="s">
        <v>3087</v>
      </c>
      <c r="C10" s="1659" t="s">
        <v>3088</v>
      </c>
      <c r="D10" s="1650"/>
      <c r="E10" s="1660" t="s">
        <v>1945</v>
      </c>
      <c r="F10" s="1661" t="s">
        <v>3089</v>
      </c>
      <c r="G10" s="1727"/>
      <c r="H10" s="1728"/>
      <c r="I10" s="1650"/>
      <c r="J10" s="1676"/>
      <c r="K10" s="1756"/>
      <c r="L10" s="1705"/>
      <c r="M10" s="1705"/>
      <c r="N10" s="1676"/>
      <c r="O10" s="1677"/>
      <c r="P10" s="1676"/>
      <c r="Q10" s="1676"/>
      <c r="R10" s="1676"/>
      <c r="S10" s="1676"/>
      <c r="T10" s="1676"/>
      <c r="U10" s="1676"/>
    </row>
    <row r="11" spans="1:21">
      <c r="A11" s="1679" t="s">
        <v>1998</v>
      </c>
      <c r="B11" s="1680" t="s">
        <v>3090</v>
      </c>
      <c r="C11" s="3200" t="str">
        <f>B7</f>
        <v>济宁金讯置业有限公司</v>
      </c>
      <c r="D11" s="1744"/>
      <c r="E11" s="1643"/>
      <c r="F11" s="1643"/>
      <c r="G11" s="1643"/>
      <c r="H11" s="1643"/>
      <c r="I11" s="1643"/>
      <c r="J11" s="1676"/>
      <c r="K11" s="1756"/>
      <c r="L11" s="1705"/>
      <c r="M11" s="1705"/>
      <c r="N11" s="1676"/>
      <c r="O11" s="1677"/>
      <c r="P11" s="1676"/>
      <c r="Q11" s="1676"/>
      <c r="R11" s="1676"/>
      <c r="S11" s="1676"/>
      <c r="T11" s="1676"/>
      <c r="U11" s="1676"/>
    </row>
    <row r="12" spans="1:21">
      <c r="A12" s="1767" t="s">
        <v>2056</v>
      </c>
      <c r="B12" s="3250" t="s">
        <v>3091</v>
      </c>
      <c r="C12" s="3251"/>
      <c r="D12" s="3252"/>
      <c r="E12" s="1681" t="s">
        <v>2059</v>
      </c>
      <c r="F12" s="3268" t="s">
        <v>3092</v>
      </c>
      <c r="G12" s="3269"/>
      <c r="H12" s="3269"/>
      <c r="I12" s="3270"/>
      <c r="J12" s="1676"/>
      <c r="K12" s="1756"/>
      <c r="L12" s="1705"/>
      <c r="M12" s="1705"/>
      <c r="N12" s="1676"/>
      <c r="O12" s="1677"/>
      <c r="P12" s="1676"/>
      <c r="Q12" s="1676"/>
      <c r="R12" s="1676"/>
      <c r="S12" s="1676"/>
      <c r="T12" s="1676"/>
      <c r="U12" s="1676"/>
    </row>
    <row r="13" spans="1:21">
      <c r="A13" s="1669" t="s">
        <v>2057</v>
      </c>
      <c r="B13" s="3250" t="s">
        <v>3093</v>
      </c>
      <c r="C13" s="3251"/>
      <c r="D13" s="3252"/>
      <c r="E13" s="1681" t="s">
        <v>2059</v>
      </c>
      <c r="F13" s="3268" t="s">
        <v>2883</v>
      </c>
      <c r="G13" s="3269"/>
      <c r="H13" s="3269"/>
      <c r="I13" s="3270"/>
      <c r="J13" s="1676"/>
      <c r="K13" s="1756"/>
      <c r="L13" s="1705"/>
      <c r="M13" s="1705"/>
      <c r="N13" s="1676"/>
      <c r="O13" s="1677"/>
      <c r="P13" s="1676"/>
      <c r="Q13" s="1676"/>
      <c r="R13" s="1676"/>
      <c r="S13" s="1676"/>
      <c r="T13" s="1676"/>
      <c r="U13" s="1676"/>
    </row>
    <row r="14" spans="1:21">
      <c r="A14" s="1644" t="s">
        <v>2060</v>
      </c>
      <c r="B14" s="1681"/>
      <c r="C14" s="1827" t="s">
        <v>3094</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2983</v>
      </c>
      <c r="C16" s="1681" t="s">
        <v>1947</v>
      </c>
      <c r="D16" s="2608" t="s">
        <v>1948</v>
      </c>
      <c r="E16" s="1704" t="s">
        <v>2990</v>
      </c>
      <c r="F16" s="1704"/>
      <c r="G16" s="1704"/>
      <c r="H16" s="1704"/>
      <c r="I16" s="1668" t="s">
        <v>1953</v>
      </c>
      <c r="J16" s="1676"/>
      <c r="K16" s="2418" t="str">
        <f>IF(D17="","",D16&amp;TEXT(D17,"yyyy年m月d日;;"))</f>
        <v/>
      </c>
      <c r="L16" s="1681" t="str">
        <f>IF(OR(K16="",M16=""),"","、")</f>
        <v/>
      </c>
      <c r="M16" s="2418" t="str">
        <f>IF(E17="","",E16&amp;TEXT(E17,"yyyy年m月d日;;"))</f>
        <v>商业2057年3月30日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c r="E17" s="1682">
        <v>57434</v>
      </c>
      <c r="F17" s="1682"/>
      <c r="G17" s="1682"/>
      <c r="H17" s="1682"/>
      <c r="I17" s="1682"/>
      <c r="J17" s="1676"/>
      <c r="K17" s="2417" t="str">
        <f>CONCATENATE(K16,L16,M16,N16,O16,P16,Q16,R16,S16,T16,,U16)</f>
        <v>商业2057年3月30日</v>
      </c>
      <c r="L17" s="1705"/>
      <c r="M17" s="1705"/>
      <c r="N17" s="1676"/>
      <c r="O17" s="1677"/>
      <c r="P17" s="1676"/>
      <c r="Q17" s="1676"/>
      <c r="R17" s="1676"/>
      <c r="S17" s="1676"/>
      <c r="T17" s="1676"/>
      <c r="U17" s="1676"/>
    </row>
    <row r="18" spans="1:21">
      <c r="A18" s="1745"/>
      <c r="B18" s="1664"/>
      <c r="C18" s="1665" t="s">
        <v>1955</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1956</v>
      </c>
      <c r="D19" s="1740" t="str">
        <f>IF(B16="出让",IF(D17="","",ROUNDDOWN(MIN((D17-$D$3)/365,D18),2)),D18)</f>
        <v/>
      </c>
      <c r="E19" s="1667">
        <f>IF(B16="出让",IF(E17="","",ROUNDDOWN(MIN((E17-$D$3)/365,E18),2)),E18)</f>
        <v>37.76</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65"/>
      <c r="E20" s="3266"/>
      <c r="F20" s="3266"/>
      <c r="G20" s="3266"/>
      <c r="H20" s="3266"/>
      <c r="I20" s="3267"/>
      <c r="J20" s="1676"/>
      <c r="K20" s="1756"/>
      <c r="L20" s="1705"/>
      <c r="M20" s="1705"/>
      <c r="N20" s="1676"/>
      <c r="O20" s="1677"/>
      <c r="P20" s="1676"/>
      <c r="Q20" s="1676"/>
      <c r="R20" s="1676"/>
      <c r="S20" s="1676"/>
      <c r="T20" s="1676"/>
      <c r="U20" s="1676"/>
    </row>
    <row r="21" spans="1:21">
      <c r="A21" s="1745" t="s">
        <v>1957</v>
      </c>
      <c r="B21" s="1746" t="s">
        <v>1958</v>
      </c>
      <c r="C21" s="1741">
        <f>'数据-汇总表'!E3</f>
        <v>148301.93</v>
      </c>
      <c r="D21" s="1742" t="s">
        <v>1959</v>
      </c>
      <c r="E21" s="3255" t="s">
        <v>1996</v>
      </c>
      <c r="F21" s="3256"/>
      <c r="G21" s="3256"/>
      <c r="H21" s="3256"/>
      <c r="I21" s="3257"/>
      <c r="J21" s="1676"/>
      <c r="K21" s="1756"/>
      <c r="L21" s="1705"/>
      <c r="M21" s="1705"/>
      <c r="N21" s="1676"/>
      <c r="O21" s="1677"/>
      <c r="P21" s="1676"/>
      <c r="Q21" s="1676"/>
      <c r="R21" s="1676"/>
      <c r="S21" s="1676"/>
      <c r="T21" s="1676"/>
      <c r="U21" s="1676"/>
    </row>
    <row r="22" spans="1:21">
      <c r="A22" s="3095" t="s">
        <v>951</v>
      </c>
      <c r="B22" s="1644" t="s">
        <v>1960</v>
      </c>
      <c r="C22" s="1668">
        <f>'数据-汇总表'!D3</f>
        <v>21485</v>
      </c>
      <c r="D22" s="1669" t="s">
        <v>1959</v>
      </c>
      <c r="E22" s="3255" t="s">
        <v>2884</v>
      </c>
      <c r="F22" s="3256"/>
      <c r="G22" s="3256"/>
      <c r="H22" s="3256"/>
      <c r="I22" s="3257"/>
      <c r="J22" s="1676"/>
      <c r="K22" s="1756"/>
      <c r="L22" s="1705"/>
      <c r="M22" s="1705"/>
      <c r="N22" s="1676"/>
      <c r="O22" s="1677"/>
      <c r="P22" s="1676"/>
      <c r="Q22" s="1676"/>
      <c r="R22" s="1676"/>
      <c r="S22" s="1676"/>
      <c r="T22" s="1676"/>
      <c r="U22" s="1676"/>
    </row>
    <row r="23" spans="1:21" ht="43.5" thickBot="1">
      <c r="A23" s="1747" t="s">
        <v>1961</v>
      </c>
      <c r="B23" s="1683" t="s">
        <v>1962</v>
      </c>
      <c r="C23" s="1684" t="s">
        <v>3095</v>
      </c>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58" t="s">
        <v>1965</v>
      </c>
      <c r="C24" s="3259"/>
      <c r="D24" s="3260" t="s">
        <v>1966</v>
      </c>
      <c r="E24" s="3261"/>
      <c r="F24" s="1690" t="s">
        <v>1967</v>
      </c>
      <c r="G24" s="1676"/>
      <c r="H24" s="1676"/>
      <c r="I24" s="1689"/>
      <c r="J24" s="1676"/>
      <c r="K24" s="3246" t="s">
        <v>1968</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28.5">
      <c r="A25" s="1733"/>
      <c r="B25" s="1730" t="s">
        <v>2323</v>
      </c>
      <c r="C25" s="1691" t="s">
        <v>1969</v>
      </c>
      <c r="D25" s="1692"/>
      <c r="E25" s="1693" t="s">
        <v>951</v>
      </c>
      <c r="F25" s="1694"/>
      <c r="G25" s="1676"/>
      <c r="H25" s="1676"/>
      <c r="I25" s="1689"/>
      <c r="J25" s="1676"/>
      <c r="K25" s="324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c r="C26" s="1691"/>
      <c r="D26" s="1643"/>
      <c r="E26" s="1643"/>
      <c r="F26" s="1670"/>
      <c r="G26" s="1676"/>
      <c r="H26" s="1676"/>
      <c r="I26" s="1689"/>
      <c r="J26" s="1676"/>
      <c r="K26" s="324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32" t="s">
        <v>1999</v>
      </c>
      <c r="B31" s="1746" t="s">
        <v>2000</v>
      </c>
      <c r="C31" s="3271" t="s">
        <v>2991</v>
      </c>
      <c r="D31" s="3272"/>
      <c r="E31" s="1676"/>
      <c r="F31" s="1676"/>
      <c r="G31" s="1676"/>
      <c r="H31" s="1676"/>
      <c r="I31" s="1689"/>
      <c r="J31" s="1676"/>
      <c r="K31" s="2420"/>
      <c r="L31" s="1676"/>
      <c r="M31" s="1676"/>
      <c r="N31" s="1676"/>
      <c r="O31" s="1676"/>
      <c r="P31" s="1676"/>
      <c r="Q31" s="1676"/>
      <c r="R31" s="1676"/>
      <c r="S31" s="1676"/>
      <c r="T31" s="1676"/>
      <c r="U31" s="1676"/>
    </row>
    <row r="32" spans="1:21">
      <c r="A32" s="3232"/>
      <c r="B32" s="1644"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2"/>
      <c r="B33" s="1644"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3"/>
      <c r="B34" s="1644" t="s">
        <v>2003</v>
      </c>
      <c r="C34" s="3234"/>
      <c r="D34" s="3235"/>
      <c r="E34" s="1676"/>
      <c r="F34" s="1676"/>
      <c r="G34" s="1676"/>
      <c r="H34" s="1676"/>
      <c r="I34" s="1689"/>
      <c r="J34" s="1676"/>
      <c r="K34" s="2420"/>
      <c r="L34" s="1676"/>
      <c r="M34" s="1676"/>
      <c r="N34" s="1676"/>
      <c r="O34" s="1676"/>
      <c r="P34" s="1676"/>
      <c r="Q34" s="1676"/>
      <c r="R34" s="1676"/>
      <c r="S34" s="1676"/>
      <c r="T34" s="1676"/>
      <c r="U34" s="1676"/>
    </row>
    <row r="35" spans="1:21">
      <c r="A35" s="3236" t="s">
        <v>846</v>
      </c>
      <c r="B35" s="1704" t="s">
        <v>3096</v>
      </c>
      <c r="C35" s="1758" t="str">
        <f>IF(B35="场地平整","——","具体情况：")</f>
        <v>——</v>
      </c>
      <c r="D35" s="3238"/>
      <c r="E35" s="3239"/>
      <c r="F35" s="3239"/>
      <c r="G35" s="3239"/>
      <c r="H35" s="3239"/>
      <c r="I35" s="3240"/>
      <c r="J35" s="1676"/>
      <c r="K35" s="1757"/>
      <c r="L35" s="1705"/>
      <c r="M35" s="1705"/>
      <c r="N35" s="1676"/>
      <c r="O35" s="1677"/>
      <c r="P35" s="1676"/>
      <c r="Q35" s="1676"/>
      <c r="R35" s="1676"/>
      <c r="S35" s="1676"/>
      <c r="T35" s="1676"/>
      <c r="U35" s="1676"/>
    </row>
    <row r="36" spans="1:21">
      <c r="A36" s="3232"/>
      <c r="B36" s="3241" t="s">
        <v>2052</v>
      </c>
      <c r="C36" s="3242"/>
      <c r="D36" s="1774" t="s">
        <v>3097</v>
      </c>
      <c r="E36" s="3243"/>
      <c r="F36" s="3243"/>
      <c r="G36" s="1669" t="str">
        <f>IF(B35="场地未平整","估价结果处理","")</f>
        <v/>
      </c>
      <c r="H36" s="3244"/>
      <c r="I36" s="3244"/>
      <c r="J36" s="1676"/>
      <c r="K36" s="1757"/>
      <c r="L36" s="1705"/>
      <c r="M36" s="1705"/>
      <c r="N36" s="1676"/>
      <c r="O36" s="1677"/>
      <c r="P36" s="1676"/>
      <c r="Q36" s="1676"/>
      <c r="R36" s="1676"/>
      <c r="S36" s="1676"/>
      <c r="T36" s="1676"/>
      <c r="U36" s="1676"/>
    </row>
    <row r="37" spans="1:21" ht="28.5">
      <c r="A37" s="3232"/>
      <c r="B37" s="3262"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32"/>
      <c r="B38" s="3263"/>
      <c r="C38" s="1652"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33"/>
      <c r="B39" s="326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2992</v>
      </c>
      <c r="C40" s="1672" t="s">
        <v>2993</v>
      </c>
      <c r="D40" s="1672" t="s">
        <v>2994</v>
      </c>
      <c r="E40" s="1672" t="s">
        <v>2995</v>
      </c>
      <c r="F40" s="1672" t="s">
        <v>2996</v>
      </c>
      <c r="G40" s="1672" t="s">
        <v>951</v>
      </c>
      <c r="H40" s="1672" t="s">
        <v>951</v>
      </c>
      <c r="I40" s="1689"/>
      <c r="J40" s="1676"/>
      <c r="K40" s="1712">
        <f>COUNTIF(B40:H40,"——")</f>
        <v>2</v>
      </c>
      <c r="L40" s="1681" t="s">
        <v>1976</v>
      </c>
      <c r="M40" s="1678" t="s">
        <v>1977</v>
      </c>
      <c r="N40" s="1678" t="s">
        <v>1978</v>
      </c>
      <c r="O40" s="1678" t="s">
        <v>1979</v>
      </c>
      <c r="P40" s="1678" t="s">
        <v>1980</v>
      </c>
      <c r="Q40" s="1678" t="s">
        <v>1981</v>
      </c>
      <c r="R40" s="1678" t="s">
        <v>1982</v>
      </c>
      <c r="S40" s="3245" t="s">
        <v>1983</v>
      </c>
      <c r="T40" s="1713" t="str">
        <f>NUMBERSTRING(7-K40,1)&amp;"通"</f>
        <v>五通</v>
      </c>
      <c r="U40" s="1676"/>
    </row>
    <row r="41" spans="1:21">
      <c r="A41" s="1646"/>
      <c r="B41" s="3237" t="s">
        <v>1720</v>
      </c>
      <c r="C41" s="3237"/>
      <c r="D41" s="3237"/>
      <c r="E41" s="3237"/>
      <c r="F41" s="1714" t="str">
        <f>C10</f>
        <v>山东省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v>
      </c>
      <c r="R41" s="1716" t="str">
        <f>B40&amp;"、"&amp;C40&amp;"、"&amp;D40&amp;"、"&amp;E40&amp;"、"&amp;F40&amp;"、"&amp;G40&amp;"、"&amp;H40</f>
        <v>通路、通电、通讯、通上水、通下水、——、——</v>
      </c>
      <c r="S41" s="3245"/>
      <c r="T41" s="1715" t="str">
        <f>IF(T40="一通",L41,IF(T40="二通",M41,IF(T40="三通",N41,IF(T40="四通",O41,IF(T40="五通",P41,IF(T40="六通",Q41,R41))))))</f>
        <v>通路、通电、通讯、通上水、通下水</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21485</v>
      </c>
      <c r="B3" s="22">
        <f>IF(C3="否",G5-AT5,G5)</f>
        <v>148301.93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148301.93</v>
      </c>
      <c r="H5" s="27">
        <f t="shared" ref="H5:AT5" si="0">SUM(H13:H641)</f>
        <v>118500.78</v>
      </c>
      <c r="I5" s="27">
        <f t="shared" si="0"/>
        <v>46377.61</v>
      </c>
      <c r="J5" s="27">
        <f t="shared" si="0"/>
        <v>0</v>
      </c>
      <c r="K5" s="27">
        <f t="shared" si="0"/>
        <v>30051.84</v>
      </c>
      <c r="L5" s="27">
        <f t="shared" si="0"/>
        <v>0</v>
      </c>
      <c r="M5" s="27">
        <f t="shared" si="0"/>
        <v>42071.33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29801.15</v>
      </c>
      <c r="AD5" s="27">
        <f t="shared" si="0"/>
        <v>731.41</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29069.74</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148301.93</v>
      </c>
      <c r="BA5" s="29">
        <f t="shared" si="1"/>
        <v>118500.78</v>
      </c>
      <c r="BB5" s="29">
        <f t="shared" si="1"/>
        <v>46377.61</v>
      </c>
      <c r="BC5" s="29">
        <f t="shared" si="1"/>
        <v>30051.84</v>
      </c>
      <c r="BD5" s="29">
        <f t="shared" si="1"/>
        <v>42071.33</v>
      </c>
      <c r="BE5" s="29">
        <f t="shared" si="1"/>
        <v>0</v>
      </c>
      <c r="BF5" s="29">
        <f t="shared" si="1"/>
        <v>0</v>
      </c>
      <c r="BG5" s="29">
        <f t="shared" si="1"/>
        <v>0</v>
      </c>
      <c r="BH5" s="29">
        <f t="shared" si="1"/>
        <v>0</v>
      </c>
      <c r="BI5" s="29">
        <f t="shared" si="1"/>
        <v>0</v>
      </c>
      <c r="BJ5" s="29">
        <f t="shared" si="1"/>
        <v>0</v>
      </c>
      <c r="BK5" s="29">
        <f t="shared" si="1"/>
        <v>0</v>
      </c>
      <c r="BL5" s="29">
        <f t="shared" si="1"/>
        <v>29801.15</v>
      </c>
      <c r="BM5" s="29">
        <f t="shared" si="1"/>
        <v>731.41</v>
      </c>
      <c r="BN5" s="29">
        <f t="shared" si="1"/>
        <v>0</v>
      </c>
      <c r="BO5" s="29">
        <f t="shared" si="1"/>
        <v>0</v>
      </c>
      <c r="BP5" s="29">
        <f t="shared" si="1"/>
        <v>0</v>
      </c>
      <c r="BQ5" s="29">
        <f t="shared" si="1"/>
        <v>0</v>
      </c>
      <c r="BR5" s="29">
        <f t="shared" si="1"/>
        <v>29069.74</v>
      </c>
      <c r="BS5" s="29">
        <f t="shared" si="1"/>
        <v>0</v>
      </c>
      <c r="BT5" s="30">
        <f t="shared" si="1"/>
        <v>0</v>
      </c>
    </row>
    <row r="6" spans="1:72" s="37" customFormat="1" ht="12.75">
      <c r="A6" s="26" t="s">
        <v>169</v>
      </c>
      <c r="B6" s="31"/>
      <c r="C6" s="31"/>
      <c r="D6" s="32"/>
      <c r="E6" s="27">
        <f>H6+AC6+AT6</f>
        <v>21485</v>
      </c>
      <c r="F6" s="27" t="s">
        <v>1</v>
      </c>
      <c r="G6" s="27" t="s">
        <v>2</v>
      </c>
      <c r="H6" s="33">
        <f>SUMIF(I$12:AB$12,"总值",I6:AB6)</f>
        <v>17167.61</v>
      </c>
      <c r="I6" s="27">
        <f t="shared" ref="I6:AB6" si="2">ROUND($A$3*I5/$B$3,2)</f>
        <v>6718.88</v>
      </c>
      <c r="J6" s="27">
        <f t="shared" si="2"/>
        <v>0</v>
      </c>
      <c r="K6" s="27">
        <f t="shared" si="2"/>
        <v>4353.71</v>
      </c>
      <c r="L6" s="27">
        <f t="shared" si="2"/>
        <v>0</v>
      </c>
      <c r="M6" s="27">
        <f t="shared" si="2"/>
        <v>6095.02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4317.3900000000003</v>
      </c>
      <c r="AD6" s="27">
        <f t="shared" ref="AD6:AS6" si="3">ROUND($A$3*AD5/$B$3,2)</f>
        <v>105.96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4211.43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21485</v>
      </c>
      <c r="AZ6" s="27" t="s">
        <v>3</v>
      </c>
      <c r="BA6" s="27">
        <f>ROUND($AY$6*BA5/$AZ$5,2)</f>
        <v>17167.61</v>
      </c>
      <c r="BB6" s="27">
        <f>ROUND($AY$6*BB5/$AZ$5,2)</f>
        <v>6718.88</v>
      </c>
      <c r="BC6" s="27">
        <f t="shared" ref="BC6:BH6" si="4">ROUND($AY$6*BC5/$AZ$5,2)</f>
        <v>4353.71</v>
      </c>
      <c r="BD6" s="27">
        <f t="shared" si="4"/>
        <v>6095.02</v>
      </c>
      <c r="BE6" s="27">
        <f t="shared" si="4"/>
        <v>0</v>
      </c>
      <c r="BF6" s="27">
        <f t="shared" si="4"/>
        <v>0</v>
      </c>
      <c r="BG6" s="27">
        <f t="shared" si="4"/>
        <v>0</v>
      </c>
      <c r="BH6" s="27">
        <f t="shared" si="4"/>
        <v>0</v>
      </c>
      <c r="BI6" s="27">
        <f t="shared" ref="BI6:BT6" si="5">ROUND($AY$6*BI5/$AZ$5,2)</f>
        <v>0</v>
      </c>
      <c r="BJ6" s="27">
        <f t="shared" si="5"/>
        <v>0</v>
      </c>
      <c r="BK6" s="27">
        <f t="shared" si="5"/>
        <v>0</v>
      </c>
      <c r="BL6" s="27">
        <f t="shared" si="5"/>
        <v>4317.3900000000003</v>
      </c>
      <c r="BM6" s="27">
        <f t="shared" si="5"/>
        <v>105.96</v>
      </c>
      <c r="BN6" s="27">
        <f t="shared" si="5"/>
        <v>0</v>
      </c>
      <c r="BO6" s="27">
        <f t="shared" si="5"/>
        <v>0</v>
      </c>
      <c r="BP6" s="27">
        <f t="shared" si="5"/>
        <v>0</v>
      </c>
      <c r="BQ6" s="27">
        <f t="shared" si="5"/>
        <v>0</v>
      </c>
      <c r="BR6" s="27">
        <f t="shared" si="5"/>
        <v>4211.43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2997</v>
      </c>
      <c r="J9" s="51"/>
      <c r="K9" s="2969" t="s">
        <v>2997</v>
      </c>
      <c r="L9" s="51"/>
      <c r="M9" s="2969" t="s">
        <v>2997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2990</v>
      </c>
      <c r="J10" s="51"/>
      <c r="K10" s="2971" t="s">
        <v>1676</v>
      </c>
      <c r="L10" s="51"/>
      <c r="M10" s="2971" t="s">
        <v>2990</v>
      </c>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2328</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3098</v>
      </c>
      <c r="J11" s="71"/>
      <c r="K11" s="2970" t="s">
        <v>2998</v>
      </c>
      <c r="L11" s="71"/>
      <c r="M11" s="70" t="s">
        <v>3099</v>
      </c>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t="str">
        <f>K11</f>
        <v>办公楼</v>
      </c>
      <c r="BD12" s="79" t="str">
        <f>M11</f>
        <v>酒店</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t="s">
        <v>2999</v>
      </c>
      <c r="D13" s="2965" t="s">
        <v>1677</v>
      </c>
      <c r="E13" s="27">
        <f t="shared" ref="E13:E20" si="6">IF($C$3="是",ROUND($A$3*G13/$B$3,2),ROUND($A$3*(G13-AT13)/$B$3,2))</f>
        <v>21485</v>
      </c>
      <c r="F13" s="81"/>
      <c r="G13" s="82">
        <f t="shared" ref="G13:G20" si="7">H13+AC13+AT13</f>
        <v>148301.93</v>
      </c>
      <c r="H13" s="33">
        <f t="shared" ref="H13:H20" si="8">SUMIF(I$12:AB$12,"总值",I13:AB13)</f>
        <v>118500.78</v>
      </c>
      <c r="I13" s="2968">
        <f>38022.33+4032.69+2800+1522.59</f>
        <v>46377.61</v>
      </c>
      <c r="J13" s="2968"/>
      <c r="K13" s="2968">
        <v>30051.84</v>
      </c>
      <c r="L13" s="2968"/>
      <c r="M13" s="2968">
        <v>42071.33</v>
      </c>
      <c r="N13" s="83"/>
      <c r="O13" s="83"/>
      <c r="P13" s="83"/>
      <c r="Q13" s="83"/>
      <c r="R13" s="83"/>
      <c r="S13" s="83"/>
      <c r="T13" s="83"/>
      <c r="U13" s="83"/>
      <c r="V13" s="83"/>
      <c r="W13" s="83"/>
      <c r="X13" s="83"/>
      <c r="Y13" s="83"/>
      <c r="Z13" s="83"/>
      <c r="AA13" s="83"/>
      <c r="AB13" s="83"/>
      <c r="AC13" s="27">
        <f t="shared" ref="AC13:AC20" si="9">SUMIF(AD$12:AS$12,"总值",AD13:AS13)</f>
        <v>29801.15</v>
      </c>
      <c r="AD13" s="2972">
        <v>731.41</v>
      </c>
      <c r="AE13" s="2972"/>
      <c r="AF13" s="2972"/>
      <c r="AG13" s="2972"/>
      <c r="AH13" s="2972"/>
      <c r="AI13" s="2972"/>
      <c r="AJ13" s="2972"/>
      <c r="AK13" s="2972"/>
      <c r="AL13" s="2972"/>
      <c r="AM13" s="2972"/>
      <c r="AN13" s="2972">
        <v>29069.74</v>
      </c>
      <c r="AO13" s="2972"/>
      <c r="AP13" s="2972"/>
      <c r="AQ13" s="2972"/>
      <c r="AR13" s="2972"/>
      <c r="AS13" s="2972"/>
      <c r="AT13" s="2973"/>
      <c r="AU13" s="2974"/>
      <c r="AV13" s="17">
        <f t="shared" ref="AV13:AX20" si="10">A13</f>
        <v>0</v>
      </c>
      <c r="AW13" s="17">
        <f t="shared" si="10"/>
        <v>0</v>
      </c>
      <c r="AX13" s="17" t="str">
        <f t="shared" si="10"/>
        <v>A1地块</v>
      </c>
      <c r="AY13" s="996">
        <f t="shared" ref="AY13:AY20" si="11">ROUND($AY$6*AZ13/$AZ$5,2)</f>
        <v>21485</v>
      </c>
      <c r="AZ13" s="27">
        <f t="shared" ref="AZ13:AZ20" si="12">BA13+BL13</f>
        <v>148301.93</v>
      </c>
      <c r="BA13" s="27">
        <f t="shared" ref="BA13:BA20" si="13">SUM(BB13:BK13)</f>
        <v>118500.78</v>
      </c>
      <c r="BB13" s="27">
        <f t="shared" ref="BB13:BB20" si="14">IF($D13="是",I13-J13,0)</f>
        <v>46377.61</v>
      </c>
      <c r="BC13" s="27">
        <f t="shared" ref="BC13:BC20" si="15">IF($D13="是",K13-L13,0)</f>
        <v>30051.84</v>
      </c>
      <c r="BD13" s="27">
        <f t="shared" ref="BD13:BD20" si="16">IF($D13="是",M13-N13,0)</f>
        <v>42071.33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29801.15</v>
      </c>
      <c r="BM13" s="27">
        <f t="shared" ref="BM13:BM20" si="25">IF($D13="是",AD13-AE13,0)</f>
        <v>731.41</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29069.74</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F22" sqref="F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4" t="s">
        <v>203</v>
      </c>
      <c r="B2" s="3284"/>
      <c r="C2" s="3284"/>
      <c r="D2" s="1958" t="s">
        <v>204</v>
      </c>
      <c r="E2" s="106" t="s">
        <v>205</v>
      </c>
      <c r="F2" s="1967"/>
      <c r="G2" s="1194"/>
      <c r="H2" s="1195"/>
      <c r="I2" s="1196" t="s">
        <v>856</v>
      </c>
      <c r="J2" s="1967"/>
      <c r="K2" s="1967"/>
      <c r="L2" s="1967"/>
    </row>
    <row r="3" spans="1:16" ht="15.75" thickBot="1">
      <c r="A3" s="3285" t="s">
        <v>206</v>
      </c>
      <c r="B3" s="3285"/>
      <c r="C3" s="3285"/>
      <c r="D3" s="107">
        <f>'数据-基础表'!AY6</f>
        <v>21485</v>
      </c>
      <c r="E3" s="107">
        <f>'数据-基础表'!AZ5</f>
        <v>148301.93</v>
      </c>
      <c r="F3" s="1967"/>
      <c r="G3" s="280" t="s">
        <v>857</v>
      </c>
      <c r="H3" s="275" t="s">
        <v>858</v>
      </c>
      <c r="I3" s="1959">
        <f>ROUND('数据-基础表'!B3/'数据-基础表'!A3,2)</f>
        <v>6.9</v>
      </c>
      <c r="J3" s="1967"/>
      <c r="K3" s="1967"/>
      <c r="L3" s="1967"/>
    </row>
    <row r="4" spans="1:16" ht="15">
      <c r="A4" s="3286"/>
      <c r="B4" s="3287"/>
      <c r="C4" s="3288"/>
      <c r="D4" s="108" t="s">
        <v>204</v>
      </c>
      <c r="E4" s="109" t="s">
        <v>205</v>
      </c>
      <c r="F4" s="1967"/>
      <c r="G4" s="1197"/>
      <c r="H4" s="275" t="s">
        <v>859</v>
      </c>
      <c r="I4" s="1959">
        <f>ROUND(SUMIF('数据-基础表'!I9:AS9,"地上",'数据-基础表'!I5:AS5)/'数据-基础表'!A3,2)</f>
        <v>5.55</v>
      </c>
      <c r="J4" s="1967"/>
      <c r="K4" s="1967"/>
      <c r="L4" s="1967"/>
    </row>
    <row r="5" spans="1:16">
      <c r="A5" s="110" t="s">
        <v>207</v>
      </c>
      <c r="B5" s="3289" t="s">
        <v>230</v>
      </c>
      <c r="C5" s="3289"/>
      <c r="D5" s="111">
        <f>ROUND($D$3*E5/$E$3,2)</f>
        <v>0</v>
      </c>
      <c r="E5" s="112">
        <f>SUMIF('数据-基础表'!$11:$11,"住宅",'数据-基础表'!$5:$5)</f>
        <v>0</v>
      </c>
      <c r="F5" s="1967"/>
      <c r="G5" s="280" t="s">
        <v>860</v>
      </c>
      <c r="H5" s="275" t="s">
        <v>858</v>
      </c>
      <c r="I5" s="1959">
        <f>ROUND(E31/D31,2)</f>
        <v>6.9</v>
      </c>
      <c r="J5" s="1967"/>
      <c r="K5" s="1967"/>
      <c r="L5" s="1967"/>
    </row>
    <row r="6" spans="1:16" ht="15" thickBot="1">
      <c r="A6" s="113"/>
      <c r="B6" s="3289" t="s">
        <v>208</v>
      </c>
      <c r="C6" s="3289"/>
      <c r="D6" s="111">
        <f>ROUND($D$3*E6/$E$3,2)</f>
        <v>21485</v>
      </c>
      <c r="E6" s="112">
        <f>E3-E5</f>
        <v>148301.93</v>
      </c>
      <c r="F6" s="1967"/>
      <c r="G6" s="1197"/>
      <c r="H6" s="275" t="s">
        <v>859</v>
      </c>
      <c r="I6" s="1959">
        <f>ROUND(F31/D31,2)</f>
        <v>5.55</v>
      </c>
      <c r="J6" s="1967"/>
      <c r="K6" s="1967"/>
      <c r="L6" s="1967"/>
    </row>
    <row r="7" spans="1:16" ht="15">
      <c r="A7" s="3281"/>
      <c r="B7" s="3282"/>
      <c r="C7" s="3283"/>
      <c r="D7" s="108" t="s">
        <v>204</v>
      </c>
      <c r="E7" s="114" t="s">
        <v>231</v>
      </c>
      <c r="F7" s="1967"/>
      <c r="G7" s="1152" t="s">
        <v>1644</v>
      </c>
      <c r="H7" s="1153"/>
      <c r="I7" s="1829"/>
      <c r="J7" s="1967"/>
      <c r="K7" s="1967"/>
      <c r="L7" s="1967"/>
    </row>
    <row r="8" spans="1:16">
      <c r="A8" s="110" t="s">
        <v>209</v>
      </c>
      <c r="B8" s="115" t="s">
        <v>210</v>
      </c>
      <c r="C8" s="111" t="s">
        <v>211</v>
      </c>
      <c r="D8" s="111">
        <f t="shared" ref="D8:D15" si="0">ROUND($D$3*E8/$E$3,2)</f>
        <v>17167.61</v>
      </c>
      <c r="E8" s="116">
        <f>SUMIF('数据-基础表'!BB10:BK10,"地上",'数据-基础表'!BB5:BK5)</f>
        <v>118500.78</v>
      </c>
      <c r="F8" s="1967"/>
      <c r="G8" s="1969"/>
      <c r="H8" s="1969"/>
      <c r="I8" s="1967"/>
      <c r="J8" s="1967"/>
      <c r="K8" s="1967"/>
      <c r="L8" s="1967"/>
    </row>
    <row r="9" spans="1:16">
      <c r="A9" s="117"/>
      <c r="B9" s="118"/>
      <c r="C9" s="111" t="s">
        <v>212</v>
      </c>
      <c r="D9" s="111">
        <f t="shared" si="0"/>
        <v>-8829.7900000000009</v>
      </c>
      <c r="E9" s="119">
        <f>0-F22</f>
        <v>-60948.32</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8337.82</v>
      </c>
      <c r="E16" s="120">
        <f>SUM(E8:E15)</f>
        <v>57552.46</v>
      </c>
      <c r="F16" s="1967"/>
      <c r="G16" s="1969"/>
      <c r="H16" s="968" t="s">
        <v>219</v>
      </c>
      <c r="I16" s="969"/>
      <c r="J16" s="1967"/>
      <c r="K16" s="3275" t="s">
        <v>2561</v>
      </c>
      <c r="L16" s="3276"/>
      <c r="M16" s="3276"/>
      <c r="N16" s="3276"/>
      <c r="O16" s="3276"/>
      <c r="P16" s="3277"/>
    </row>
    <row r="17" spans="1:19" ht="15">
      <c r="A17" s="121" t="s">
        <v>216</v>
      </c>
      <c r="B17" s="122" t="s">
        <v>217</v>
      </c>
      <c r="C17" s="2281" t="s">
        <v>2311</v>
      </c>
      <c r="D17" s="108" t="s">
        <v>204</v>
      </c>
      <c r="E17" s="124" t="s">
        <v>205</v>
      </c>
      <c r="F17" s="125"/>
      <c r="G17" s="1361"/>
      <c r="H17" s="970" t="s">
        <v>218</v>
      </c>
      <c r="I17" s="971" t="s">
        <v>2310</v>
      </c>
      <c r="J17" s="1967"/>
      <c r="K17" s="3278" t="s">
        <v>2562</v>
      </c>
      <c r="L17" s="3279"/>
      <c r="M17" s="3280"/>
      <c r="N17" s="3278" t="s">
        <v>2563</v>
      </c>
      <c r="O17" s="3279"/>
      <c r="P17" s="3280"/>
      <c r="R17" s="2282" t="s">
        <v>2309</v>
      </c>
      <c r="S17" s="144"/>
    </row>
    <row r="18" spans="1:19" ht="15">
      <c r="A18" s="117"/>
      <c r="B18" s="128"/>
      <c r="C18" s="129"/>
      <c r="D18" s="2604"/>
      <c r="E18" s="130" t="s">
        <v>220</v>
      </c>
      <c r="F18" s="131" t="s">
        <v>221</v>
      </c>
      <c r="G18" s="1362" t="s">
        <v>222</v>
      </c>
      <c r="H18" s="972" t="s">
        <v>223</v>
      </c>
      <c r="I18" s="973" t="s">
        <v>224</v>
      </c>
      <c r="J18" s="1967"/>
      <c r="K18" s="2567" t="s">
        <v>2564</v>
      </c>
      <c r="L18" s="2568" t="s">
        <v>2565</v>
      </c>
      <c r="M18" s="2569" t="s">
        <v>2566</v>
      </c>
      <c r="N18" s="2567" t="s">
        <v>2564</v>
      </c>
      <c r="O18" s="2568" t="s">
        <v>2565</v>
      </c>
      <c r="P18" s="2569" t="s">
        <v>2566</v>
      </c>
      <c r="R18" s="2283" t="s">
        <v>2307</v>
      </c>
      <c r="S18" s="2283" t="s">
        <v>2308</v>
      </c>
    </row>
    <row r="19" spans="1:19">
      <c r="A19" s="133"/>
      <c r="B19" s="115" t="s">
        <v>225</v>
      </c>
      <c r="C19" s="2975" t="s">
        <v>3100</v>
      </c>
      <c r="D19" s="111">
        <f t="shared" ref="D19:D26" si="1">ROUND($D$3*E19/$E$3,2)</f>
        <v>6718.88</v>
      </c>
      <c r="E19" s="134">
        <f t="shared" ref="E19:E26" si="2">SUM(F19:G19)</f>
        <v>46377.61</v>
      </c>
      <c r="F19" s="135">
        <f>'数据-基础表'!I5</f>
        <v>46377.61</v>
      </c>
      <c r="G19" s="1363"/>
      <c r="H19" s="974">
        <f>ROUND($D$3*I19/$E$3,2)</f>
        <v>1648.23</v>
      </c>
      <c r="I19" s="116">
        <f>IF($I$17="自定义",P19,M19)</f>
        <v>11377.01</v>
      </c>
      <c r="J19" s="1967"/>
      <c r="K19" s="2570">
        <f t="shared" ref="K19:K26" si="3">ROUND(E$28*E19/E$27,2)</f>
        <v>11377.01</v>
      </c>
      <c r="L19" s="275">
        <f t="shared" ref="L19:L26" si="4">ROUND(IF(COUNTIF(C19,"*住宅*")&gt;0,E$29*E19/E$32,0),2)</f>
        <v>0</v>
      </c>
      <c r="M19" s="2571">
        <f>K19+L19</f>
        <v>11377.01</v>
      </c>
      <c r="N19" s="2572"/>
      <c r="O19" s="2573"/>
      <c r="P19" s="2574">
        <f>N19+O19</f>
        <v>0</v>
      </c>
      <c r="R19" s="275">
        <f t="shared" ref="R19:S26" si="5">D19+H19</f>
        <v>8367.11</v>
      </c>
      <c r="S19" s="2284">
        <f t="shared" si="5"/>
        <v>57754.62</v>
      </c>
    </row>
    <row r="20" spans="1:19">
      <c r="A20" s="138"/>
      <c r="B20" s="115" t="s">
        <v>226</v>
      </c>
      <c r="C20" s="2975" t="s">
        <v>3000</v>
      </c>
      <c r="D20" s="111">
        <f t="shared" si="1"/>
        <v>1618.94</v>
      </c>
      <c r="E20" s="134">
        <f t="shared" si="2"/>
        <v>11174.849999999999</v>
      </c>
      <c r="F20" s="135">
        <f>'数据-基础表'!K5+'数据-基础表'!M5-'数据-汇总表'!F22</f>
        <v>11174.849999999999</v>
      </c>
      <c r="G20" s="1363"/>
      <c r="H20" s="974">
        <f t="shared" ref="H20:H26" si="6">ROUND($D$3*I20/$E$3,2)</f>
        <v>397.15</v>
      </c>
      <c r="I20" s="116">
        <f t="shared" ref="I20:I26" si="7">IF($I$17="自定义",P20,M20)</f>
        <v>2741.33</v>
      </c>
      <c r="J20" s="1967"/>
      <c r="K20" s="2570">
        <f t="shared" si="3"/>
        <v>2741.33</v>
      </c>
      <c r="L20" s="275">
        <f t="shared" si="4"/>
        <v>0</v>
      </c>
      <c r="M20" s="2571">
        <f t="shared" ref="M20:M26" si="8">K20+L20</f>
        <v>2741.33</v>
      </c>
      <c r="N20" s="2572"/>
      <c r="O20" s="2573"/>
      <c r="P20" s="2574">
        <f t="shared" ref="P20:P26" si="9">N20+O20</f>
        <v>0</v>
      </c>
      <c r="R20" s="275">
        <f t="shared" si="5"/>
        <v>2016.0900000000001</v>
      </c>
      <c r="S20" s="2284">
        <f t="shared" si="5"/>
        <v>13916.179999999998</v>
      </c>
    </row>
    <row r="21" spans="1:19">
      <c r="A21" s="138"/>
      <c r="B21" s="115" t="s">
        <v>226</v>
      </c>
      <c r="C21" s="2975" t="s">
        <v>3101</v>
      </c>
      <c r="D21" s="111">
        <f t="shared" si="1"/>
        <v>0</v>
      </c>
      <c r="E21" s="134">
        <f t="shared" si="2"/>
        <v>0</v>
      </c>
      <c r="F21" s="135">
        <v>0</v>
      </c>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3201" t="s">
        <v>3103</v>
      </c>
      <c r="D22" s="111">
        <f t="shared" si="1"/>
        <v>8829.7900000000009</v>
      </c>
      <c r="E22" s="134">
        <f t="shared" si="2"/>
        <v>60948.32</v>
      </c>
      <c r="F22" s="140">
        <f>60948.32</f>
        <v>60948.32</v>
      </c>
      <c r="G22" s="1364"/>
      <c r="H22" s="974">
        <f t="shared" si="6"/>
        <v>2166.06</v>
      </c>
      <c r="I22" s="116">
        <f t="shared" si="7"/>
        <v>14951.39</v>
      </c>
      <c r="J22" s="1967"/>
      <c r="K22" s="2570">
        <f t="shared" si="3"/>
        <v>14951.39</v>
      </c>
      <c r="L22" s="275">
        <f t="shared" si="4"/>
        <v>0</v>
      </c>
      <c r="M22" s="2571">
        <f t="shared" si="8"/>
        <v>14951.39</v>
      </c>
      <c r="N22" s="2572"/>
      <c r="O22" s="2573"/>
      <c r="P22" s="2574">
        <f t="shared" si="9"/>
        <v>0</v>
      </c>
      <c r="R22" s="275">
        <f t="shared" si="5"/>
        <v>10995.85</v>
      </c>
      <c r="S22" s="2284">
        <f t="shared" si="5"/>
        <v>75899.709999999992</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3.5" thickBot="1">
      <c r="A27" s="138"/>
      <c r="B27" s="111"/>
      <c r="C27" s="127" t="s">
        <v>215</v>
      </c>
      <c r="D27" s="134">
        <f>SUM(D19:D26)</f>
        <v>17167.61</v>
      </c>
      <c r="E27" s="143">
        <f>IF(SUM(E19:E26)='数据-基础表'!BA5,SUM(E19:E26),IF(F27="地上面积有误","面积有误","地下面积有误"))</f>
        <v>118500.78</v>
      </c>
      <c r="F27" s="134">
        <f>IF(SUM(F19:F26)=E8,SUM(F19:F26),"地上面积有误")</f>
        <v>118500.78</v>
      </c>
      <c r="G27" s="112">
        <f>SUM(G19:G26)</f>
        <v>0</v>
      </c>
      <c r="H27" s="975">
        <f>SUM(H19:H26)</f>
        <v>4211.4400000000005</v>
      </c>
      <c r="I27" s="976">
        <f>SUM(I19:I26)</f>
        <v>29069.73</v>
      </c>
      <c r="J27" s="1967"/>
      <c r="K27" s="2579">
        <f>SUM(K19:K26)</f>
        <v>29069.73</v>
      </c>
      <c r="L27" s="2580">
        <f>SUM(L19:L26)</f>
        <v>0</v>
      </c>
      <c r="M27" s="2581">
        <f>SUM(M19:M26)</f>
        <v>29069.73</v>
      </c>
      <c r="N27" s="2579">
        <f t="shared" ref="N27:O27" si="10">SUM(N19:N26)</f>
        <v>0</v>
      </c>
      <c r="O27" s="2580">
        <f t="shared" si="10"/>
        <v>0</v>
      </c>
      <c r="P27" s="2582">
        <f>SUM(P19:P26)</f>
        <v>0</v>
      </c>
      <c r="R27" s="2288" t="str">
        <f>IF(SUM(R19:R26)=$D$3,SUM(R19:R26),SUM(R19:R26)&amp;"误差"&amp;ROUND(SUM(R19:R26)-$D$3,2))</f>
        <v>21379.05误差-105.95</v>
      </c>
      <c r="S27" s="275" t="str">
        <f>IF(SUM(S19:S26)=$E$3,SUM(S19:S26),SUM(S19:S26)&amp;"误差"&amp;ROUND(SUM(S19:S26)-E3,2))</f>
        <v>147570.51误差-731.42</v>
      </c>
    </row>
    <row r="28" spans="1:19">
      <c r="A28" s="138"/>
      <c r="B28" s="115" t="s">
        <v>227</v>
      </c>
      <c r="C28" s="136" t="s">
        <v>228</v>
      </c>
      <c r="D28" s="111">
        <f>ROUND($D$3*E28/$E$3,2)</f>
        <v>4211.43</v>
      </c>
      <c r="E28" s="134">
        <f>SUM(F28:G28)</f>
        <v>29069.74</v>
      </c>
      <c r="F28" s="144">
        <f>'数据-基础表'!BQ5+'数据-基础表'!BS5</f>
        <v>0</v>
      </c>
      <c r="G28" s="145">
        <f>'数据-基础表'!BR5+'数据-基础表'!BT5</f>
        <v>29069.74</v>
      </c>
      <c r="H28" s="1967"/>
      <c r="I28" s="1967"/>
      <c r="J28" s="1967"/>
      <c r="K28" s="1967"/>
      <c r="L28" s="1967"/>
    </row>
    <row r="29" spans="1:19">
      <c r="A29" s="138"/>
      <c r="B29" s="115" t="s">
        <v>227</v>
      </c>
      <c r="C29" s="2296" t="s">
        <v>2318</v>
      </c>
      <c r="D29" s="111">
        <f>ROUND($D$3*E29/$E$3,2)</f>
        <v>105.96</v>
      </c>
      <c r="E29" s="134">
        <f>SUM(F29:G29)</f>
        <v>731.41</v>
      </c>
      <c r="F29" s="144">
        <f>'数据-基础表'!BM5+'数据-基础表'!BO5</f>
        <v>731.41</v>
      </c>
      <c r="G29" s="146">
        <f>'数据-基础表'!BN5+'数据-基础表'!BP5</f>
        <v>0</v>
      </c>
      <c r="H29" s="1967"/>
      <c r="I29" s="1967"/>
      <c r="J29" s="1967"/>
      <c r="K29" s="1967"/>
      <c r="L29" s="1967"/>
    </row>
    <row r="30" spans="1:19">
      <c r="A30" s="138"/>
      <c r="B30" s="111"/>
      <c r="C30" s="147" t="s">
        <v>215</v>
      </c>
      <c r="D30" s="134">
        <f>SUM(D28:D29)</f>
        <v>4317.3900000000003</v>
      </c>
      <c r="E30" s="134">
        <f>SUM(E28:E29)</f>
        <v>29801.15</v>
      </c>
      <c r="F30" s="134">
        <f>SUM(F28:F29)</f>
        <v>731.41</v>
      </c>
      <c r="G30" s="112">
        <f>SUM(G28:G29)</f>
        <v>29069.74</v>
      </c>
      <c r="H30" s="1967"/>
      <c r="I30" s="1967"/>
      <c r="J30" s="1967"/>
      <c r="K30" s="1967"/>
      <c r="L30" s="1967"/>
    </row>
    <row r="31" spans="1:19" ht="32.25" customHeight="1" thickBot="1">
      <c r="A31" s="1365"/>
      <c r="B31" s="1366" t="s">
        <v>229</v>
      </c>
      <c r="C31" s="2313" t="s">
        <v>2320</v>
      </c>
      <c r="D31" s="1367">
        <f>D27+D30</f>
        <v>21485</v>
      </c>
      <c r="E31" s="1367">
        <f>E27+E30</f>
        <v>148301.93</v>
      </c>
      <c r="F31" s="1368">
        <f>F27+F30</f>
        <v>119232.19</v>
      </c>
      <c r="G31" s="1369">
        <f>G27+G30</f>
        <v>29069.74</v>
      </c>
      <c r="H31" s="1967"/>
      <c r="I31" s="1967"/>
      <c r="J31" s="1967"/>
      <c r="K31" s="1967"/>
      <c r="L31" s="1967"/>
    </row>
    <row r="32" spans="1:19">
      <c r="A32" s="1967"/>
      <c r="B32" s="2325" t="s">
        <v>2319</v>
      </c>
      <c r="C32" s="2609"/>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9"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43651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2321</v>
      </c>
      <c r="AI5" s="171" t="s">
        <v>2290</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商业</v>
      </c>
      <c r="B6" s="2320" t="str">
        <f>IF(A6=0,"","经营性")</f>
        <v>经营性</v>
      </c>
      <c r="C6" s="173" t="s">
        <v>2990</v>
      </c>
      <c r="D6" s="2291">
        <f>SUMIF(项目基本情况!D$15:I$15,C6,项目基本情况!D$18:I$18)</f>
        <v>40</v>
      </c>
      <c r="E6" s="2292">
        <f>IF(B6="","",SUMIF(项目基本情况!D$15:I$15,C6,项目基本情况!D$17:I$17))</f>
        <v>57434</v>
      </c>
      <c r="F6" s="174">
        <f>SUMIF(项目基本情况!D$15:I$15,C6,项目基本情况!D$19:I$19)</f>
        <v>37.76</v>
      </c>
      <c r="G6" s="175">
        <f>IF(ISERROR(ROUND(POWER(1+H6,D6-F6)*(POWER(1+H6,F6)-1)/(POWER(1+H6,D6)-1),3)),0,ROUND(POWER(1+H6,D6-F6)*(POWER(1+H6,F6)-1)/(POWER(1+H6,D6)-1),3))</f>
        <v>0.97799999999999998</v>
      </c>
      <c r="H6" s="2976">
        <v>4.4999999999999998E-2</v>
      </c>
      <c r="I6" s="2976">
        <v>5.5E-2</v>
      </c>
      <c r="J6" s="176">
        <v>8.5000000000000006E-2</v>
      </c>
      <c r="K6" s="179">
        <f>SUMIF('数据-汇总表'!C$19:C$33,'数据-取费表'!A6,'数据-汇总表'!E$19:E$33)</f>
        <v>46377.61</v>
      </c>
      <c r="L6" s="2977">
        <v>3200</v>
      </c>
      <c r="M6" s="177">
        <f t="shared" ref="M6:M14" si="0">ROUND(K6*L6/10000,0)</f>
        <v>14841</v>
      </c>
      <c r="N6" s="2978">
        <v>0</v>
      </c>
      <c r="O6" s="177">
        <f>IF($N$5="成新度","——",ROUND(M6*N6,0))</f>
        <v>0</v>
      </c>
      <c r="P6" s="178">
        <f>IF($N$5="成新度","——",M6-O6)</f>
        <v>14841</v>
      </c>
      <c r="Q6" s="2979">
        <v>0.15</v>
      </c>
      <c r="R6" s="179">
        <f>SUMIF('数据-汇总表'!C$19:C$33,A6,'数据-汇总表'!R$19:R$33)</f>
        <v>8367.11</v>
      </c>
      <c r="S6" s="132">
        <f>IF('数据-汇总表'!$I$17="按面积比例",SUMIF('数据-汇总表'!C$19:C$33,A6,'数据-汇总表'!K$19:K$33),SUMIF('数据-汇总表'!C$19:C$33,A6,'数据-汇总表'!N$19:N$33))</f>
        <v>11377.01</v>
      </c>
      <c r="T6" s="2217">
        <f>IF($T$4="按面积比例",IF(ISERROR(ROUND($M$14*S6/S$16,0)),"0",ROUND($M$14*S6/S$16,0)),"需自行计算录入")</f>
        <v>2844</v>
      </c>
      <c r="U6" s="3193">
        <v>2</v>
      </c>
      <c r="V6" s="181">
        <v>0.03</v>
      </c>
      <c r="W6" s="181">
        <v>0.1</v>
      </c>
      <c r="X6" s="2304"/>
      <c r="Y6" s="182">
        <v>1</v>
      </c>
      <c r="Z6" s="183"/>
      <c r="AA6" s="176"/>
      <c r="AB6" s="176"/>
      <c r="AC6" s="2307"/>
      <c r="AD6" s="184"/>
      <c r="AE6" s="972">
        <f ca="1">IF(AN6="",0,SUMIF(INDIRECT("'"&amp;AN6&amp;"'"&amp;"!E:E"),$AE$5,INDIRECT("'"&amp;AN6&amp;"'"&amp;"!F:F")))</f>
        <v>35.26</v>
      </c>
      <c r="AF6" s="141"/>
      <c r="AG6" s="1209">
        <f>IF(AF6="",0,AE6-AF6)</f>
        <v>0</v>
      </c>
      <c r="AH6" s="141"/>
      <c r="AI6" s="187">
        <v>365</v>
      </c>
      <c r="AJ6" s="188"/>
      <c r="AK6" s="189">
        <v>0.01</v>
      </c>
      <c r="AL6" s="190">
        <v>1.5E-3</v>
      </c>
      <c r="AM6" s="2990">
        <v>0.01</v>
      </c>
      <c r="AN6" s="2354" t="s">
        <v>3108</v>
      </c>
      <c r="AO6" s="1983"/>
      <c r="AP6" s="1200">
        <f>ROUND(1-1/(1+H6)^F6,3)</f>
        <v>0.81</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办公</v>
      </c>
      <c r="B7" s="2320" t="str">
        <f t="shared" ref="B7:B13" si="1">IF(A7=0,"","经营性")</f>
        <v>经营性</v>
      </c>
      <c r="C7" s="173" t="s">
        <v>2990</v>
      </c>
      <c r="D7" s="2291">
        <f>SUMIF(项目基本情况!D$15:I$15,C7,项目基本情况!D$18:I$18)</f>
        <v>40</v>
      </c>
      <c r="E7" s="2292">
        <f>IF(B7="","",SUMIF(项目基本情况!D$15:I$15,C7,项目基本情况!D$17:I$17))</f>
        <v>57434</v>
      </c>
      <c r="F7" s="174">
        <f>SUMIF(项目基本情况!D$15:I$15,C7,项目基本情况!D$19:I$19)</f>
        <v>37.76</v>
      </c>
      <c r="G7" s="175">
        <f t="shared" ref="G7:G11" si="2">IF(ISERROR(ROUND(POWER(1+H7,D7-F7)*(POWER(1+H7,F7)-1)/(POWER(1+H7,D7)-1),3)),0,ROUND(POWER(1+H7,D7-F7)*(POWER(1+H7,F7)-1)/(POWER(1+H7,D7)-1),3))</f>
        <v>0.97799999999999998</v>
      </c>
      <c r="H7" s="2976">
        <f>H6</f>
        <v>4.4999999999999998E-2</v>
      </c>
      <c r="I7" s="2976">
        <v>0.05</v>
      </c>
      <c r="J7" s="176">
        <f>J6</f>
        <v>8.5000000000000006E-2</v>
      </c>
      <c r="K7" s="179">
        <f>SUMIF('数据-汇总表'!C$19:C$33,'数据-取费表'!A7,'数据-汇总表'!E$19:E$33)</f>
        <v>11174.849999999999</v>
      </c>
      <c r="L7" s="2977">
        <v>2500</v>
      </c>
      <c r="M7" s="177">
        <f t="shared" si="0"/>
        <v>2794</v>
      </c>
      <c r="N7" s="2978">
        <f>N6</f>
        <v>0</v>
      </c>
      <c r="O7" s="177">
        <f t="shared" ref="O7:O14" si="3">IF($N$5="成新度","——",ROUND(M7*N7,0))</f>
        <v>0</v>
      </c>
      <c r="P7" s="178">
        <f t="shared" ref="P7:P14" si="4">IF($N$5="成新度","——",M7-O7)</f>
        <v>2794</v>
      </c>
      <c r="Q7" s="2979">
        <v>0.1</v>
      </c>
      <c r="R7" s="179">
        <f>SUMIF('数据-汇总表'!C$19:C$33,A7,'数据-汇总表'!R$19:R$33)</f>
        <v>2016.0900000000001</v>
      </c>
      <c r="S7" s="132">
        <f>IF('数据-汇总表'!$I$17="按面积比例",SUMIF('数据-汇总表'!C$19:C$33,A7,'数据-汇总表'!K$19:K$33),SUMIF('数据-汇总表'!C$19:C$33,A7,'数据-汇总表'!N$19:N$33))</f>
        <v>2741.33</v>
      </c>
      <c r="T7" s="2217">
        <f t="shared" ref="T7:T13" si="5">IF($T$4="按面积比例",IF(ISERROR(ROUND($M$14*S7/S$16,0)),"0",ROUND($M$14*S7/S$16,0)),"需自行计算录入")</f>
        <v>685</v>
      </c>
      <c r="U7" s="180">
        <v>1.4</v>
      </c>
      <c r="V7" s="181">
        <v>0.03</v>
      </c>
      <c r="W7" s="181">
        <v>0.1</v>
      </c>
      <c r="X7" s="2304"/>
      <c r="Y7" s="182">
        <v>1</v>
      </c>
      <c r="Z7" s="183"/>
      <c r="AA7" s="176"/>
      <c r="AB7" s="176"/>
      <c r="AC7" s="2307"/>
      <c r="AD7" s="184"/>
      <c r="AE7" s="972">
        <f t="shared" ref="AE7:AE13" ca="1" si="6">IF(AN7="",0,SUMIF(INDIRECT("'"&amp;AN7&amp;"'"&amp;"!E:E"),$AE$5,INDIRECT("'"&amp;AN7&amp;"'"&amp;"!F:F")))</f>
        <v>35.26</v>
      </c>
      <c r="AF7" s="141"/>
      <c r="AG7" s="1209">
        <f t="shared" ref="AG7:AG13" si="7">IF(AF7="",0,AE7-AF7)</f>
        <v>0</v>
      </c>
      <c r="AH7" s="141"/>
      <c r="AI7" s="187">
        <v>365</v>
      </c>
      <c r="AJ7" s="188"/>
      <c r="AK7" s="189">
        <v>0.01</v>
      </c>
      <c r="AL7" s="190">
        <v>1.5E-3</v>
      </c>
      <c r="AM7" s="2352">
        <v>0.01</v>
      </c>
      <c r="AN7" s="2354" t="s">
        <v>3001</v>
      </c>
      <c r="AO7" s="1983"/>
      <c r="AP7" s="1200">
        <f t="shared" ref="AP7:AP13" si="8">ROUND(1-1/(1+H7)^F7,3)</f>
        <v>0.81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酒店</v>
      </c>
      <c r="B8" s="2320" t="str">
        <f t="shared" si="1"/>
        <v>经营性</v>
      </c>
      <c r="C8" s="173" t="s">
        <v>2990</v>
      </c>
      <c r="D8" s="2291">
        <f>SUMIF(项目基本情况!D$15:I$15,C8,项目基本情况!D$18:I$18)</f>
        <v>40</v>
      </c>
      <c r="E8" s="2292">
        <f>IF(B8="","",SUMIF(项目基本情况!D$15:I$15,C8,项目基本情况!D$17:I$17))</f>
        <v>57434</v>
      </c>
      <c r="F8" s="174">
        <f>SUMIF(项目基本情况!D$15:I$15,C8,项目基本情况!D$19:I$19)</f>
        <v>37.76</v>
      </c>
      <c r="G8" s="175">
        <f t="shared" si="2"/>
        <v>0.97799999999999998</v>
      </c>
      <c r="H8" s="2976">
        <v>4.4999999999999998E-2</v>
      </c>
      <c r="I8" s="2976">
        <v>0.05</v>
      </c>
      <c r="J8" s="176">
        <v>8.5000000000000006E-2</v>
      </c>
      <c r="K8" s="179">
        <f>SUMIF('数据-汇总表'!C$19:C$33,'数据-取费表'!A8,'数据-汇总表'!E$19:E$33)</f>
        <v>0</v>
      </c>
      <c r="L8" s="2977">
        <v>2500</v>
      </c>
      <c r="M8" s="177">
        <f>ROUND(K8*L8/10000,0)</f>
        <v>0</v>
      </c>
      <c r="N8" s="2978">
        <f>N6</f>
        <v>0</v>
      </c>
      <c r="O8" s="177">
        <f t="shared" si="3"/>
        <v>0</v>
      </c>
      <c r="P8" s="178">
        <f t="shared" si="4"/>
        <v>0</v>
      </c>
      <c r="Q8" s="2979">
        <v>0.1</v>
      </c>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0.81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回购商业办公用房</v>
      </c>
      <c r="B9" s="2320" t="str">
        <f t="shared" si="1"/>
        <v>经营性</v>
      </c>
      <c r="C9" s="173" t="s">
        <v>2990</v>
      </c>
      <c r="D9" s="2291">
        <f>SUMIF(项目基本情况!D$15:I$15,C9,项目基本情况!D$18:I$18)</f>
        <v>40</v>
      </c>
      <c r="E9" s="2292">
        <f>IF(B9="","",SUMIF(项目基本情况!D$15:I$15,C9,项目基本情况!D$17:I$17))</f>
        <v>57434</v>
      </c>
      <c r="F9" s="174">
        <f>SUMIF(项目基本情况!D$15:I$15,C9,项目基本情况!D$19:I$19)</f>
        <v>37.76</v>
      </c>
      <c r="G9" s="175">
        <f t="shared" si="2"/>
        <v>0.97799999999999998</v>
      </c>
      <c r="H9" s="176">
        <v>4.4999999999999998E-2</v>
      </c>
      <c r="I9" s="176">
        <v>0.05</v>
      </c>
      <c r="J9" s="176">
        <v>8.5000000000000006E-2</v>
      </c>
      <c r="K9" s="179">
        <f>SUMIF('数据-汇总表'!C$19:C$33,'数据-取费表'!A9,'数据-汇总表'!E$19:E$33)</f>
        <v>60948.32</v>
      </c>
      <c r="L9" s="193">
        <v>2500</v>
      </c>
      <c r="M9" s="177">
        <f t="shared" si="0"/>
        <v>15237</v>
      </c>
      <c r="N9" s="194">
        <f>N6</f>
        <v>0</v>
      </c>
      <c r="O9" s="177">
        <f t="shared" si="3"/>
        <v>0</v>
      </c>
      <c r="P9" s="178">
        <f t="shared" si="4"/>
        <v>15237</v>
      </c>
      <c r="Q9" s="192">
        <v>0.03</v>
      </c>
      <c r="R9" s="179">
        <f>SUMIF('数据-汇总表'!C$19:C$33,A9,'数据-汇总表'!R$19:R$33)</f>
        <v>10995.85</v>
      </c>
      <c r="S9" s="132">
        <f>IF('数据-汇总表'!$I$17="按面积比例",SUMIF('数据-汇总表'!C$19:C$33,A9,'数据-汇总表'!K$19:K$33),SUMIF('数据-汇总表'!C$19:C$33,A9,'数据-汇总表'!N$19:N$33))</f>
        <v>14951.39</v>
      </c>
      <c r="T9" s="2217">
        <f t="shared" si="5"/>
        <v>3738</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0.81</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2312</v>
      </c>
      <c r="B14" s="2289" t="s">
        <v>1678</v>
      </c>
      <c r="C14" s="2290" t="s">
        <v>2312</v>
      </c>
      <c r="D14" s="2291"/>
      <c r="E14" s="2292"/>
      <c r="F14" s="174"/>
      <c r="G14" s="175"/>
      <c r="H14" s="2293"/>
      <c r="I14" s="2293"/>
      <c r="J14" s="2293"/>
      <c r="K14" s="179">
        <f>SUMIF('数据-汇总表'!C$19:C$33,'数据-取费表'!A14,'数据-汇总表'!E$19:E$33)</f>
        <v>29069.74</v>
      </c>
      <c r="L14" s="193">
        <v>2500</v>
      </c>
      <c r="M14" s="177">
        <f t="shared" si="0"/>
        <v>7267</v>
      </c>
      <c r="N14" s="194">
        <f>N6</f>
        <v>0</v>
      </c>
      <c r="O14" s="177">
        <f t="shared" si="3"/>
        <v>0</v>
      </c>
      <c r="P14" s="178">
        <f t="shared" si="4"/>
        <v>7267</v>
      </c>
      <c r="Q14" s="2301"/>
      <c r="R14" s="179"/>
      <c r="S14" s="132"/>
      <c r="T14" s="2300"/>
      <c r="U14" s="974"/>
      <c r="V14" s="2303"/>
      <c r="W14" s="2303"/>
      <c r="X14" s="2304"/>
      <c r="Y14" s="2305"/>
      <c r="Z14" s="136"/>
      <c r="AA14" s="2306"/>
      <c r="AB14" s="2306"/>
      <c r="AC14" s="2307"/>
      <c r="AD14" s="2304"/>
      <c r="AE14" s="972"/>
      <c r="AF14" s="2279"/>
      <c r="AG14" s="1209"/>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2314</v>
      </c>
      <c r="B15" s="2289" t="s">
        <v>1678</v>
      </c>
      <c r="C15" s="2290" t="s">
        <v>2313</v>
      </c>
      <c r="D15" s="2291"/>
      <c r="E15" s="2292"/>
      <c r="F15" s="174"/>
      <c r="G15" s="175"/>
      <c r="H15" s="2293"/>
      <c r="I15" s="2293"/>
      <c r="J15" s="2293"/>
      <c r="K15" s="179">
        <f>SUMIF('数据-汇总表'!C$19:C$33,'数据-取费表'!A15,'数据-汇总表'!E$19:E$33)</f>
        <v>731.41</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0.97799999999999998</v>
      </c>
      <c r="H16" s="203">
        <f>ROUND(SUMPRODUCT(H6:H13,K6:K13)/SUMPRODUCT((H6:H13&gt;0)*(K6:K13)),3)</f>
        <v>4.4999999999999998E-2</v>
      </c>
      <c r="I16" s="204"/>
      <c r="J16" s="204"/>
      <c r="K16" s="205">
        <f>SUM(K6:K15)</f>
        <v>148301.93</v>
      </c>
      <c r="L16" s="206">
        <f>ROUND(M16*10000/SUM(K6:K14),0)</f>
        <v>2720</v>
      </c>
      <c r="M16" s="206">
        <f>SUM(M6:M14)</f>
        <v>40139</v>
      </c>
      <c r="N16" s="207">
        <f>ROUND(SUMPRODUCT(M6:M14,N6:N14)/M16,3)</f>
        <v>0</v>
      </c>
      <c r="O16" s="206">
        <f>SUM(O6:O14)</f>
        <v>0</v>
      </c>
      <c r="P16" s="206">
        <f>SUM(P6:P14)</f>
        <v>40139</v>
      </c>
      <c r="Q16" s="208">
        <f>ROUND(SUMPRODUCT(Q6:Q13,K6:K13)/SUMPRODUCT((Q6:Q13&gt;0)*(K6:K13)),2)</f>
        <v>0.08</v>
      </c>
      <c r="R16" s="2294">
        <f>SUM(R6:R13)</f>
        <v>21379.050000000003</v>
      </c>
      <c r="S16" s="209">
        <f>SUM(S6:S13)</f>
        <v>29069.73</v>
      </c>
      <c r="T16" s="210">
        <f>IF(SUMIF(T6:T13,"&lt;9E307")=M14,SUMIF(T6:T13,"&lt;9E307"),"有误，请检查")</f>
        <v>7267</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0.81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f>L8*'数据-基础表'!M13+L7*('数据-基础表'!K5-'数据-汇总表'!F20)</f>
        <v>152370800</v>
      </c>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2332</v>
      </c>
      <c r="D20" s="1976"/>
      <c r="E20" s="1975"/>
      <c r="F20" s="1975"/>
      <c r="G20" s="1975"/>
      <c r="H20" s="1975"/>
      <c r="I20" s="1975"/>
      <c r="J20" s="1975"/>
      <c r="K20" s="1974"/>
      <c r="L20" s="1974">
        <f>ROUND(L19/K9,0)</f>
        <v>2500</v>
      </c>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116</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c r="C29" s="1538"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3">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4">
        <v>0.04</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2887</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1.4999999999999999E-2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1325</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2899</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2900</v>
      </c>
      <c r="B55" s="186">
        <v>12.8</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2901</v>
      </c>
      <c r="B56" s="186">
        <v>6.4</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2902</v>
      </c>
      <c r="B57" s="186">
        <v>4.8</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0" t="s">
        <v>1662</v>
      </c>
      <c r="B1" s="3291"/>
      <c r="C1" s="3291"/>
      <c r="D1" s="3291"/>
      <c r="E1" s="3291"/>
      <c r="F1" s="3291"/>
      <c r="G1" s="3291"/>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54">
      <c r="A3" s="1223" t="s">
        <v>1665</v>
      </c>
      <c r="B3" s="1224" t="s">
        <v>1652</v>
      </c>
      <c r="C3" s="3031" t="s">
        <v>2915</v>
      </c>
      <c r="D3" s="1992"/>
      <c r="E3" s="1225" t="s">
        <v>1665</v>
      </c>
      <c r="F3" s="1226" t="s">
        <v>1653</v>
      </c>
      <c r="G3" s="3035" t="s">
        <v>2914</v>
      </c>
      <c r="H3" s="1991"/>
      <c r="I3" s="1991"/>
      <c r="J3" s="1991"/>
      <c r="K3" s="1991"/>
      <c r="L3" s="1991"/>
      <c r="M3" s="1991"/>
      <c r="N3" s="1991"/>
      <c r="O3" s="1991"/>
      <c r="P3" s="1991"/>
      <c r="Q3" s="1991"/>
      <c r="R3" s="1991"/>
    </row>
    <row r="4" spans="1:18" ht="41.25">
      <c r="A4" s="1225"/>
      <c r="B4" s="1227" t="s">
        <v>1666</v>
      </c>
      <c r="C4" s="3032" t="s">
        <v>2916</v>
      </c>
      <c r="D4" s="1992"/>
      <c r="E4" s="1228"/>
      <c r="F4" s="1229" t="s">
        <v>1667</v>
      </c>
      <c r="G4" s="3033" t="s">
        <v>2911</v>
      </c>
      <c r="H4" s="1991"/>
      <c r="I4" s="1991"/>
      <c r="J4" s="1991"/>
      <c r="K4" s="1991"/>
      <c r="L4" s="1991"/>
      <c r="M4" s="1991"/>
      <c r="N4" s="1991"/>
      <c r="O4" s="1991"/>
      <c r="P4" s="1991"/>
      <c r="Q4" s="1991"/>
      <c r="R4" s="1991"/>
    </row>
    <row r="5" spans="1:18" ht="41.25">
      <c r="A5" s="1225"/>
      <c r="B5" s="1227" t="s">
        <v>1668</v>
      </c>
      <c r="C5" s="3032" t="s">
        <v>2917</v>
      </c>
      <c r="D5" s="1992"/>
      <c r="E5" s="1228"/>
      <c r="F5" s="1227" t="s">
        <v>2541</v>
      </c>
      <c r="G5" s="3033" t="s">
        <v>2912</v>
      </c>
      <c r="H5" s="1991"/>
      <c r="I5" s="1991"/>
      <c r="J5" s="1991"/>
      <c r="K5" s="1991"/>
      <c r="L5" s="1991"/>
      <c r="M5" s="1991"/>
      <c r="N5" s="1991"/>
      <c r="O5" s="1991"/>
      <c r="P5" s="1991"/>
      <c r="Q5" s="1991"/>
      <c r="R5" s="1991"/>
    </row>
    <row r="6" spans="1:18" ht="54">
      <c r="A6" s="1225"/>
      <c r="B6" s="1227" t="s">
        <v>1654</v>
      </c>
      <c r="C6" s="3033" t="s">
        <v>2911</v>
      </c>
      <c r="D6" s="1992"/>
      <c r="E6" s="1228"/>
      <c r="F6" s="1227" t="s">
        <v>2542</v>
      </c>
      <c r="G6" s="3033" t="s">
        <v>2909</v>
      </c>
      <c r="H6" s="1991"/>
      <c r="I6" s="1991"/>
      <c r="J6" s="1991"/>
      <c r="K6" s="1991"/>
      <c r="L6" s="1991"/>
      <c r="M6" s="1991"/>
      <c r="N6" s="1991"/>
      <c r="O6" s="1991"/>
      <c r="P6" s="1991"/>
      <c r="Q6" s="1991"/>
      <c r="R6" s="1991"/>
    </row>
    <row r="7" spans="1:18" ht="41.25" thickBot="1">
      <c r="A7" s="1225"/>
      <c r="B7" s="1227" t="s">
        <v>2541</v>
      </c>
      <c r="C7" s="3033" t="s">
        <v>2912</v>
      </c>
      <c r="D7" s="1993"/>
      <c r="E7" s="1230"/>
      <c r="F7" s="1231" t="s">
        <v>1669</v>
      </c>
      <c r="G7" s="3036" t="s">
        <v>2913</v>
      </c>
      <c r="H7" s="1991"/>
      <c r="I7" s="1991"/>
      <c r="J7" s="1991"/>
      <c r="K7" s="1991"/>
      <c r="L7" s="1991"/>
      <c r="M7" s="1991"/>
      <c r="N7" s="1991"/>
      <c r="O7" s="1991"/>
      <c r="P7" s="1991"/>
      <c r="Q7" s="1991"/>
      <c r="R7" s="1991"/>
    </row>
    <row r="8" spans="1:18" ht="27">
      <c r="A8" s="1225"/>
      <c r="B8" s="1227" t="s">
        <v>2542</v>
      </c>
      <c r="C8" s="3033" t="s">
        <v>2909</v>
      </c>
      <c r="D8" s="1993"/>
      <c r="E8" s="1993"/>
      <c r="F8" s="1539"/>
      <c r="G8" s="1539"/>
      <c r="H8" s="1991"/>
      <c r="I8" s="1991"/>
      <c r="J8" s="1991"/>
      <c r="K8" s="1991"/>
      <c r="L8" s="1991"/>
      <c r="M8" s="1991"/>
      <c r="N8" s="1991"/>
      <c r="O8" s="1991"/>
      <c r="P8" s="1991"/>
      <c r="Q8" s="1991"/>
      <c r="R8" s="1991"/>
    </row>
    <row r="9" spans="1:18" ht="40.5">
      <c r="A9" s="1225"/>
      <c r="B9" s="1227" t="s">
        <v>1655</v>
      </c>
      <c r="C9" s="3032" t="s">
        <v>2910</v>
      </c>
      <c r="D9" s="1992"/>
      <c r="E9" s="1993"/>
      <c r="F9" s="1539"/>
      <c r="G9" s="1539"/>
      <c r="H9" s="1991"/>
      <c r="I9" s="1991"/>
      <c r="J9" s="1991"/>
      <c r="K9" s="1991"/>
      <c r="L9" s="1991"/>
      <c r="M9" s="1991"/>
      <c r="N9" s="1991"/>
      <c r="O9" s="1991"/>
      <c r="P9" s="1991"/>
      <c r="Q9" s="1991"/>
      <c r="R9" s="1991"/>
    </row>
    <row r="10" spans="1:18" s="1999" customFormat="1" ht="15" thickBot="1">
      <c r="A10" s="1232"/>
      <c r="B10" s="1233" t="s">
        <v>1670</v>
      </c>
      <c r="C10" s="3034"/>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4"/>
      <c r="B14" s="1235"/>
      <c r="C14" s="1236" t="s">
        <v>1663</v>
      </c>
      <c r="D14" s="1992"/>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2"/>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2"/>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3"/>
      <c r="E17" s="2548"/>
      <c r="F17" s="1243" t="s">
        <v>1673</v>
      </c>
      <c r="G17" s="2748"/>
    </row>
    <row r="18" spans="1:7" ht="54">
      <c r="A18" s="2551"/>
      <c r="B18" s="1243" t="s">
        <v>1654</v>
      </c>
      <c r="C18" s="1005" t="str">
        <f>C6</f>
        <v>估价对象周边道路状况、公共交通通达情况、停车便捷程度，综合评价交通便捷度较好</v>
      </c>
      <c r="D18" s="1993"/>
      <c r="E18" s="2548"/>
      <c r="F18" s="1243" t="s">
        <v>1669</v>
      </c>
      <c r="G18" s="1005" t="str">
        <f>G7</f>
        <v>该园区内是否有污染型企业，绿化情况，卫生条件，整体环境状况判断</v>
      </c>
    </row>
    <row r="19" spans="1:7" ht="27">
      <c r="A19" s="2551"/>
      <c r="B19" s="1243" t="s">
        <v>1658</v>
      </c>
      <c r="C19" s="2748"/>
      <c r="D19" s="1992"/>
      <c r="E19" s="2548"/>
      <c r="F19" s="1227" t="s">
        <v>2541</v>
      </c>
      <c r="G19" s="1005" t="str">
        <f>G5</f>
        <v>估价对象所在区域公共配套设施齐备情况</v>
      </c>
    </row>
    <row r="20" spans="1:7" ht="40.5">
      <c r="A20" s="2551"/>
      <c r="B20" s="1243" t="s">
        <v>1659</v>
      </c>
      <c r="C20" s="1242" t="str">
        <f>C9</f>
        <v>区域自然环境：；人文环境；综合评价环境状况一般</v>
      </c>
      <c r="D20" s="1993"/>
      <c r="E20" s="2548"/>
      <c r="F20" s="1227" t="s">
        <v>2542</v>
      </c>
      <c r="G20" s="1005" t="str">
        <f>G6</f>
        <v>估价对象所在区域基础设施水平</v>
      </c>
    </row>
    <row r="21" spans="1:7" ht="27">
      <c r="A21" s="2551"/>
      <c r="B21" s="1227" t="s">
        <v>2541</v>
      </c>
      <c r="C21" s="1005" t="str">
        <f>C7</f>
        <v>估价对象所在区域公共配套设施齐备情况</v>
      </c>
      <c r="D21" s="1992"/>
      <c r="E21" s="2548"/>
      <c r="F21" s="1243" t="s">
        <v>1660</v>
      </c>
      <c r="G21" s="3037"/>
    </row>
    <row r="22" spans="1:7" ht="27">
      <c r="A22" s="2551"/>
      <c r="B22" s="1227" t="s">
        <v>2542</v>
      </c>
      <c r="C22" s="1005" t="str">
        <f>C8</f>
        <v>估价对象所在区域基础设施水平</v>
      </c>
      <c r="D22" s="1992"/>
      <c r="E22" s="2548"/>
      <c r="F22" s="1243" t="s">
        <v>1670</v>
      </c>
      <c r="G22" s="2748"/>
    </row>
    <row r="23" spans="1:7" ht="15" thickBot="1">
      <c r="A23" s="2551"/>
      <c r="B23" s="1243" t="s">
        <v>1660</v>
      </c>
      <c r="C23" s="3037"/>
      <c r="E23" s="2549"/>
      <c r="F23" s="1244" t="s">
        <v>1674</v>
      </c>
      <c r="G23" s="3038"/>
    </row>
    <row r="24" spans="1:7" ht="14.2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0" sqref="G10"/>
    </sheetView>
  </sheetViews>
  <sheetFormatPr defaultColWidth="14.625" defaultRowHeight="13.5"/>
  <cols>
    <col min="1" max="1" width="24.375" customWidth="1"/>
  </cols>
  <sheetData>
    <row r="1" spans="1:9" ht="16.5">
      <c r="A1" s="2995" t="s">
        <v>2839</v>
      </c>
      <c r="B1" s="2995">
        <f>SUM(B14:B23)</f>
        <v>152274.5</v>
      </c>
      <c r="C1" s="2996"/>
      <c r="D1" s="2996"/>
      <c r="E1" s="2996"/>
      <c r="F1" s="2996"/>
    </row>
    <row r="2" spans="1:9" ht="16.5">
      <c r="A2" s="2995" t="s">
        <v>2840</v>
      </c>
      <c r="B2" s="2995">
        <f>SUM(C14:C23)</f>
        <v>26831</v>
      </c>
      <c r="C2" s="2996"/>
      <c r="D2" s="2996"/>
      <c r="E2" s="2996"/>
      <c r="F2" s="2996"/>
    </row>
    <row r="3" spans="1:9" ht="16.5">
      <c r="A3" s="2995" t="s">
        <v>2841</v>
      </c>
      <c r="B3" s="2997">
        <f>项目基本情况!D3</f>
        <v>43651</v>
      </c>
      <c r="C3" s="2996"/>
      <c r="D3" s="2996"/>
      <c r="E3" s="2996"/>
      <c r="F3" s="2996"/>
    </row>
    <row r="4" spans="1:9" ht="33">
      <c r="A4" s="2995" t="s">
        <v>2842</v>
      </c>
      <c r="B4" s="2995" t="s">
        <v>2843</v>
      </c>
      <c r="C4" s="2995" t="s">
        <v>2844</v>
      </c>
      <c r="D4" s="2995" t="s">
        <v>2845</v>
      </c>
      <c r="E4" s="2996"/>
      <c r="F4" s="2996"/>
    </row>
    <row r="5" spans="1:9" ht="16.5">
      <c r="A5" s="2995" t="s">
        <v>2846</v>
      </c>
      <c r="B5" s="2995">
        <f ca="1">SUM(D14:D23)</f>
        <v>13912</v>
      </c>
      <c r="C5" s="2995">
        <f ca="1">ROUND(B5*10000/$B$1,0)</f>
        <v>914</v>
      </c>
      <c r="D5" s="2995">
        <f ca="1">ROUND(B5*10000/$B$2,0)</f>
        <v>5185</v>
      </c>
      <c r="E5" s="2996"/>
      <c r="F5" s="2996"/>
    </row>
    <row r="6" spans="1:9" ht="16.5">
      <c r="A6" s="2995" t="s">
        <v>2847</v>
      </c>
      <c r="B6" s="2995">
        <f ca="1">SUM(G14:G23)</f>
        <v>13912</v>
      </c>
      <c r="C6" s="2995">
        <f t="shared" ref="C6:C8" ca="1" si="0">ROUND(B6*10000/$B$1,0)</f>
        <v>914</v>
      </c>
      <c r="D6" s="2995">
        <f t="shared" ref="D6:D8" ca="1" si="1">ROUND(B6*10000/$B$2,0)</f>
        <v>5185</v>
      </c>
      <c r="E6" s="2996"/>
      <c r="F6" s="2996"/>
    </row>
    <row r="7" spans="1:9" ht="16.5">
      <c r="A7" s="2995" t="s">
        <v>2848</v>
      </c>
      <c r="B7" s="2995">
        <f>SUM(H14:H23)</f>
        <v>0</v>
      </c>
      <c r="C7" s="2995">
        <f t="shared" si="0"/>
        <v>0</v>
      </c>
      <c r="D7" s="2995">
        <f t="shared" si="1"/>
        <v>0</v>
      </c>
      <c r="E7" s="2996"/>
      <c r="F7" s="2996"/>
    </row>
    <row r="8" spans="1:9" ht="16.5">
      <c r="A8" s="2995" t="s">
        <v>2849</v>
      </c>
      <c r="B8" s="2995">
        <f ca="1">SUM(I14:I23)</f>
        <v>12595</v>
      </c>
      <c r="C8" s="2995">
        <f t="shared" ca="1" si="0"/>
        <v>827</v>
      </c>
      <c r="D8" s="2995">
        <f t="shared" ca="1" si="1"/>
        <v>4694</v>
      </c>
      <c r="E8" s="2996"/>
      <c r="F8" s="2996"/>
    </row>
    <row r="9" spans="1:9" ht="16.5">
      <c r="A9" s="2995" t="s">
        <v>2850</v>
      </c>
      <c r="B9" s="2998"/>
      <c r="C9" s="2996"/>
      <c r="D9" s="2996"/>
      <c r="E9" s="2996"/>
      <c r="F9" s="2996"/>
    </row>
    <row r="10" spans="1:9" ht="16.5">
      <c r="A10" s="2995" t="s">
        <v>2851</v>
      </c>
      <c r="B10" s="2998"/>
      <c r="C10" s="2996"/>
      <c r="D10" s="2996"/>
      <c r="E10" s="2996"/>
      <c r="F10" s="2996"/>
    </row>
    <row r="11" spans="1:9" ht="16.5">
      <c r="A11" s="2995" t="s">
        <v>2868</v>
      </c>
      <c r="B11" s="2998"/>
      <c r="C11" s="2996"/>
      <c r="D11" s="2996"/>
      <c r="E11" s="2996"/>
      <c r="F11" s="2996"/>
    </row>
    <row r="12" spans="1:9" ht="16.5">
      <c r="A12" s="2996"/>
      <c r="B12" s="2996"/>
      <c r="C12" s="2996"/>
      <c r="D12" s="2996"/>
      <c r="E12" s="2996"/>
      <c r="F12" s="2996"/>
    </row>
    <row r="13" spans="1:9" ht="33">
      <c r="A13" s="3001" t="s">
        <v>2867</v>
      </c>
      <c r="B13" s="2999" t="s">
        <v>2839</v>
      </c>
      <c r="C13" s="2999" t="s">
        <v>2840</v>
      </c>
      <c r="D13" s="2999" t="s">
        <v>2852</v>
      </c>
      <c r="E13" s="2995" t="s">
        <v>2866</v>
      </c>
      <c r="F13" s="2995" t="s">
        <v>2845</v>
      </c>
      <c r="G13" s="2999" t="s">
        <v>2853</v>
      </c>
      <c r="H13" s="2999" t="s">
        <v>2854</v>
      </c>
      <c r="I13" s="2999" t="s">
        <v>2855</v>
      </c>
    </row>
    <row r="14" spans="1:9" ht="16.5">
      <c r="A14" s="3002" t="s">
        <v>2865</v>
      </c>
      <c r="B14" s="2999">
        <f>结果表!L38</f>
        <v>148301.93</v>
      </c>
      <c r="C14" s="2999">
        <f>结果表!K38</f>
        <v>21485</v>
      </c>
      <c r="D14" s="2999">
        <f ca="1">结果表!C42</f>
        <v>12101</v>
      </c>
      <c r="E14" s="2999">
        <f ca="1">ROUND(D14*10000/B14,0)</f>
        <v>816</v>
      </c>
      <c r="F14" s="2999">
        <f ca="1">ROUND(D14*10000/C14,0)</f>
        <v>5632</v>
      </c>
      <c r="G14" s="2999">
        <f ca="1">结果表!C44</f>
        <v>12101</v>
      </c>
      <c r="H14" s="2999" t="str">
        <f>结果表!C45</f>
        <v>——</v>
      </c>
      <c r="I14" s="2999">
        <f ca="1">结果表!C46</f>
        <v>10887</v>
      </c>
    </row>
    <row r="15" spans="1:9" ht="16.5">
      <c r="A15" s="3002" t="s">
        <v>2856</v>
      </c>
      <c r="B15" s="3003">
        <f>[1]系统读取表!$B$14</f>
        <v>3972.57</v>
      </c>
      <c r="C15" s="3003">
        <f>[1]系统读取表!$C$14</f>
        <v>5346</v>
      </c>
      <c r="D15" s="3003">
        <f ca="1">[1]系统读取表!$D$14</f>
        <v>1811</v>
      </c>
      <c r="E15" s="2999">
        <f t="shared" ref="E15:E23" ca="1" si="2">ROUND(D15*10000/B15,0)</f>
        <v>4559</v>
      </c>
      <c r="F15" s="2999">
        <f t="shared" ref="F15:F23" ca="1" si="3">ROUND(D15*10000/C15,0)</f>
        <v>3388</v>
      </c>
      <c r="G15" s="3000">
        <f ca="1">[1]系统读取表!$G$14</f>
        <v>1811</v>
      </c>
      <c r="H15" s="3000" t="str">
        <f>[1]系统读取表!$H$14</f>
        <v>——</v>
      </c>
      <c r="I15" s="3003">
        <f ca="1">[1]系统读取表!$I$14</f>
        <v>1708</v>
      </c>
    </row>
    <row r="16" spans="1:9" ht="16.5">
      <c r="A16" s="3002" t="s">
        <v>2857</v>
      </c>
      <c r="B16" s="3003"/>
      <c r="C16" s="3003"/>
      <c r="D16" s="3003"/>
      <c r="E16" s="2999" t="e">
        <f t="shared" si="2"/>
        <v>#DIV/0!</v>
      </c>
      <c r="F16" s="2999" t="e">
        <f t="shared" si="3"/>
        <v>#DIV/0!</v>
      </c>
      <c r="G16" s="3000"/>
      <c r="H16" s="3000"/>
      <c r="I16" s="3003"/>
    </row>
    <row r="17" spans="1:9" ht="16.5">
      <c r="A17" s="3002" t="s">
        <v>2858</v>
      </c>
      <c r="B17" s="3003"/>
      <c r="C17" s="3003"/>
      <c r="D17" s="3003"/>
      <c r="E17" s="2999" t="e">
        <f t="shared" si="2"/>
        <v>#DIV/0!</v>
      </c>
      <c r="F17" s="2999" t="e">
        <f t="shared" si="3"/>
        <v>#DIV/0!</v>
      </c>
      <c r="G17" s="3000"/>
      <c r="H17" s="3000"/>
      <c r="I17" s="3003"/>
    </row>
    <row r="18" spans="1:9" ht="16.5">
      <c r="A18" s="3002" t="s">
        <v>2859</v>
      </c>
      <c r="B18" s="3003"/>
      <c r="C18" s="3003"/>
      <c r="D18" s="3003"/>
      <c r="E18" s="2999" t="e">
        <f t="shared" si="2"/>
        <v>#DIV/0!</v>
      </c>
      <c r="F18" s="2999" t="e">
        <f t="shared" si="3"/>
        <v>#DIV/0!</v>
      </c>
      <c r="G18" s="3003"/>
      <c r="H18" s="3003"/>
      <c r="I18" s="3003"/>
    </row>
    <row r="19" spans="1:9" ht="16.5">
      <c r="A19" s="3002" t="s">
        <v>2860</v>
      </c>
      <c r="B19" s="3003"/>
      <c r="C19" s="3003"/>
      <c r="D19" s="3003"/>
      <c r="E19" s="2999" t="e">
        <f t="shared" si="2"/>
        <v>#DIV/0!</v>
      </c>
      <c r="F19" s="2999" t="e">
        <f t="shared" si="3"/>
        <v>#DIV/0!</v>
      </c>
      <c r="G19" s="3003"/>
      <c r="H19" s="3003"/>
      <c r="I19" s="3003"/>
    </row>
    <row r="20" spans="1:9" ht="16.5">
      <c r="A20" s="3002" t="s">
        <v>2861</v>
      </c>
      <c r="B20" s="3003"/>
      <c r="C20" s="3003"/>
      <c r="D20" s="3003"/>
      <c r="E20" s="2999" t="e">
        <f t="shared" si="2"/>
        <v>#DIV/0!</v>
      </c>
      <c r="F20" s="2999" t="e">
        <f t="shared" si="3"/>
        <v>#DIV/0!</v>
      </c>
      <c r="G20" s="3003"/>
      <c r="H20" s="3003"/>
      <c r="I20" s="3003"/>
    </row>
    <row r="21" spans="1:9" ht="16.5">
      <c r="A21" s="3002" t="s">
        <v>2862</v>
      </c>
      <c r="B21" s="3003"/>
      <c r="C21" s="3003"/>
      <c r="D21" s="3003"/>
      <c r="E21" s="2999" t="e">
        <f t="shared" si="2"/>
        <v>#DIV/0!</v>
      </c>
      <c r="F21" s="2999" t="e">
        <f t="shared" si="3"/>
        <v>#DIV/0!</v>
      </c>
      <c r="G21" s="3003"/>
      <c r="H21" s="3003"/>
      <c r="I21" s="3003"/>
    </row>
    <row r="22" spans="1:9" ht="16.5">
      <c r="A22" s="3002" t="s">
        <v>2863</v>
      </c>
      <c r="B22" s="3003"/>
      <c r="C22" s="3003"/>
      <c r="D22" s="3003"/>
      <c r="E22" s="2999" t="e">
        <f t="shared" si="2"/>
        <v>#DIV/0!</v>
      </c>
      <c r="F22" s="2999" t="e">
        <f t="shared" si="3"/>
        <v>#DIV/0!</v>
      </c>
      <c r="G22" s="3003"/>
      <c r="H22" s="3003"/>
      <c r="I22" s="3003"/>
    </row>
    <row r="23" spans="1:9" ht="16.5">
      <c r="A23" s="3002" t="s">
        <v>2864</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opLeftCell="A37" zoomScaleNormal="100" zoomScaleSheetLayoutView="100" zoomScalePageLayoutView="80" workbookViewId="0">
      <selection activeCell="I25" sqref="I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2053</v>
      </c>
      <c r="B1" s="1760"/>
      <c r="C1" s="1788" t="s">
        <v>2054</v>
      </c>
      <c r="D1" s="1789" t="s">
        <v>3008</v>
      </c>
      <c r="E1" s="1788" t="s">
        <v>2055</v>
      </c>
      <c r="F1" s="1790" t="s">
        <v>3009</v>
      </c>
      <c r="G1" s="311"/>
      <c r="H1" s="311"/>
      <c r="I1" s="311"/>
      <c r="J1" s="2012"/>
      <c r="K1" s="2012"/>
      <c r="L1" s="2012"/>
      <c r="M1" s="2012"/>
      <c r="N1" s="2012"/>
      <c r="O1" s="2012"/>
      <c r="P1" s="2012"/>
      <c r="Q1" s="2012"/>
      <c r="R1" s="2012"/>
      <c r="S1" s="2012"/>
      <c r="T1" s="2012"/>
      <c r="U1" s="2012"/>
      <c r="V1" s="2012"/>
    </row>
    <row r="2" spans="1:22" ht="21.75" customHeight="1" thickBot="1">
      <c r="A2" s="3328" t="str">
        <f>项目基本情况!K2</f>
        <v>山东省济宁市洸府河以东，红星路以南出让国有建设用地使用权</v>
      </c>
      <c r="B2" s="3329"/>
      <c r="C2" s="3330"/>
      <c r="D2" s="3330"/>
      <c r="E2" s="3330"/>
      <c r="F2" s="3330"/>
      <c r="G2" s="3329"/>
      <c r="H2" s="3329"/>
      <c r="I2" s="3331"/>
      <c r="J2" s="2013"/>
      <c r="K2" s="2012"/>
      <c r="L2" s="2012"/>
      <c r="M2" s="2012"/>
      <c r="N2" s="2012"/>
      <c r="O2" s="2012"/>
      <c r="P2" s="2012"/>
      <c r="Q2" s="2012"/>
      <c r="R2" s="2012"/>
      <c r="S2" s="2012"/>
      <c r="T2" s="2012"/>
      <c r="U2" s="2012"/>
      <c r="V2" s="2012"/>
    </row>
    <row r="3" spans="1:22" ht="14.25">
      <c r="A3" s="3321" t="s">
        <v>298</v>
      </c>
      <c r="B3" s="3322"/>
      <c r="C3" s="3322"/>
      <c r="D3" s="3322"/>
      <c r="E3" s="3322"/>
      <c r="F3" s="3322"/>
      <c r="G3" s="3322"/>
      <c r="H3" s="3322"/>
      <c r="I3" s="3322"/>
      <c r="J3" s="2013"/>
      <c r="K3" s="2012"/>
      <c r="L3" s="2012"/>
      <c r="M3" s="2012"/>
      <c r="N3" s="2012"/>
      <c r="O3" s="2012"/>
      <c r="P3" s="2012"/>
      <c r="Q3" s="2012"/>
      <c r="R3" s="2012"/>
      <c r="S3" s="2012"/>
      <c r="T3" s="2012"/>
      <c r="U3" s="2012"/>
      <c r="V3" s="2012"/>
    </row>
    <row r="4" spans="1:22" ht="14.25">
      <c r="A4" s="258" t="s">
        <v>299</v>
      </c>
      <c r="B4" s="259" t="s">
        <v>300</v>
      </c>
      <c r="C4" s="260" t="s">
        <v>3006</v>
      </c>
      <c r="D4" s="260" t="s">
        <v>3007</v>
      </c>
      <c r="E4" s="3293" t="s">
        <v>301</v>
      </c>
      <c r="F4" s="3294"/>
      <c r="G4" s="3294"/>
      <c r="H4" s="3294"/>
      <c r="I4" s="332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2" t="s">
        <v>302</v>
      </c>
      <c r="B5" s="3318">
        <v>25</v>
      </c>
      <c r="C5" s="3316"/>
      <c r="D5" s="3320"/>
      <c r="E5" s="261" t="s">
        <v>303</v>
      </c>
      <c r="F5" s="262"/>
      <c r="G5" s="262"/>
      <c r="H5" s="262"/>
      <c r="I5" s="263"/>
      <c r="J5" s="2013"/>
      <c r="K5" s="2012"/>
      <c r="L5" s="2012"/>
      <c r="M5" s="2012"/>
      <c r="N5" s="2012"/>
      <c r="O5" s="2012"/>
      <c r="P5" s="2012"/>
      <c r="Q5" s="2012"/>
      <c r="R5" s="2012"/>
      <c r="S5" s="2012"/>
      <c r="T5" s="2012"/>
      <c r="U5" s="2012"/>
      <c r="V5" s="2012"/>
    </row>
    <row r="6" spans="1:22" ht="14.25">
      <c r="A6" s="3292"/>
      <c r="B6" s="3318"/>
      <c r="C6" s="3319"/>
      <c r="D6" s="3320"/>
      <c r="E6" s="261" t="s">
        <v>304</v>
      </c>
      <c r="F6" s="262"/>
      <c r="G6" s="262"/>
      <c r="H6" s="262"/>
      <c r="I6" s="263"/>
      <c r="J6" s="2013"/>
      <c r="K6" s="2012"/>
      <c r="L6" s="2012"/>
      <c r="M6" s="2012"/>
      <c r="N6" s="2012"/>
      <c r="O6" s="2012"/>
      <c r="P6" s="2012"/>
      <c r="Q6" s="2012"/>
      <c r="R6" s="2012"/>
      <c r="S6" s="2012"/>
      <c r="T6" s="2012"/>
      <c r="U6" s="2012"/>
      <c r="V6" s="2012"/>
    </row>
    <row r="7" spans="1:22" ht="14.25">
      <c r="A7" s="3292"/>
      <c r="B7" s="3318"/>
      <c r="C7" s="3317"/>
      <c r="D7" s="3320"/>
      <c r="E7" s="261" t="s">
        <v>305</v>
      </c>
      <c r="F7" s="262"/>
      <c r="G7" s="262"/>
      <c r="H7" s="262"/>
      <c r="I7" s="263"/>
      <c r="J7" s="2013"/>
      <c r="K7" s="2012"/>
      <c r="L7" s="2012"/>
      <c r="M7" s="2012"/>
      <c r="N7" s="2012"/>
      <c r="O7" s="2012"/>
      <c r="P7" s="2012"/>
      <c r="Q7" s="2012"/>
      <c r="R7" s="2012"/>
      <c r="S7" s="2012"/>
      <c r="T7" s="2012"/>
      <c r="U7" s="2012"/>
      <c r="V7" s="2012"/>
    </row>
    <row r="8" spans="1:22" ht="14.25">
      <c r="A8" s="3292" t="s">
        <v>306</v>
      </c>
      <c r="B8" s="3318">
        <v>15</v>
      </c>
      <c r="C8" s="3316"/>
      <c r="D8" s="3320"/>
      <c r="E8" s="261" t="s">
        <v>307</v>
      </c>
      <c r="F8" s="262"/>
      <c r="G8" s="262"/>
      <c r="H8" s="262"/>
      <c r="I8" s="263"/>
      <c r="J8" s="2013"/>
      <c r="K8" s="2012"/>
      <c r="L8" s="2012"/>
      <c r="M8" s="2012"/>
      <c r="N8" s="2012"/>
      <c r="O8" s="2012"/>
      <c r="P8" s="2012"/>
      <c r="Q8" s="2012"/>
      <c r="R8" s="2012"/>
      <c r="S8" s="2012"/>
      <c r="T8" s="2012"/>
      <c r="U8" s="2012"/>
      <c r="V8" s="2012"/>
    </row>
    <row r="9" spans="1:22" ht="14.25">
      <c r="A9" s="3292"/>
      <c r="B9" s="3318"/>
      <c r="C9" s="3317"/>
      <c r="D9" s="3320"/>
      <c r="E9" s="261" t="s">
        <v>308</v>
      </c>
      <c r="F9" s="262"/>
      <c r="G9" s="262"/>
      <c r="H9" s="262"/>
      <c r="I9" s="263"/>
      <c r="J9" s="2013"/>
      <c r="K9" s="2012"/>
      <c r="L9" s="2012"/>
      <c r="M9" s="2012"/>
      <c r="N9" s="2012"/>
      <c r="O9" s="2012"/>
      <c r="P9" s="2012"/>
      <c r="Q9" s="2012"/>
      <c r="R9" s="2012"/>
      <c r="S9" s="2012"/>
      <c r="T9" s="2012"/>
      <c r="U9" s="2012"/>
      <c r="V9" s="2012"/>
    </row>
    <row r="10" spans="1:22" ht="14.25">
      <c r="A10" s="3292" t="s">
        <v>309</v>
      </c>
      <c r="B10" s="3318">
        <v>15</v>
      </c>
      <c r="C10" s="3316"/>
      <c r="D10" s="3320"/>
      <c r="E10" s="261" t="s">
        <v>310</v>
      </c>
      <c r="F10" s="262"/>
      <c r="G10" s="262"/>
      <c r="H10" s="262"/>
      <c r="I10" s="263"/>
      <c r="J10" s="2013"/>
      <c r="K10" s="2012"/>
      <c r="L10" s="2012"/>
      <c r="M10" s="2012"/>
      <c r="N10" s="2012"/>
      <c r="O10" s="2012"/>
      <c r="P10" s="2012"/>
      <c r="Q10" s="2012"/>
      <c r="R10" s="2012"/>
      <c r="S10" s="2012"/>
      <c r="T10" s="2012"/>
      <c r="U10" s="2012"/>
      <c r="V10" s="2012"/>
    </row>
    <row r="11" spans="1:22" ht="14.25">
      <c r="A11" s="3292"/>
      <c r="B11" s="3318"/>
      <c r="C11" s="3317"/>
      <c r="D11" s="3320"/>
      <c r="E11" s="261" t="s">
        <v>311</v>
      </c>
      <c r="F11" s="262"/>
      <c r="G11" s="262"/>
      <c r="H11" s="262"/>
      <c r="I11" s="263"/>
      <c r="J11" s="2013"/>
      <c r="K11" s="2012"/>
      <c r="L11" s="2012"/>
      <c r="M11" s="2012"/>
      <c r="N11" s="2012"/>
      <c r="O11" s="2012"/>
      <c r="P11" s="2012"/>
      <c r="Q11" s="2012"/>
      <c r="R11" s="2012"/>
      <c r="S11" s="2012"/>
      <c r="T11" s="2012"/>
      <c r="U11" s="2012"/>
      <c r="V11" s="2012"/>
    </row>
    <row r="12" spans="1:22" ht="14.25">
      <c r="A12" s="3292" t="s">
        <v>312</v>
      </c>
      <c r="B12" s="3318">
        <v>15</v>
      </c>
      <c r="C12" s="3316"/>
      <c r="D12" s="3320"/>
      <c r="E12" s="261" t="s">
        <v>313</v>
      </c>
      <c r="F12" s="262"/>
      <c r="G12" s="262"/>
      <c r="H12" s="262"/>
      <c r="I12" s="263"/>
      <c r="J12" s="2013"/>
      <c r="K12" s="2012"/>
      <c r="L12" s="2012"/>
      <c r="M12" s="2012"/>
      <c r="N12" s="2012"/>
      <c r="O12" s="2012"/>
      <c r="P12" s="2012"/>
      <c r="Q12" s="2012"/>
      <c r="R12" s="2012"/>
      <c r="S12" s="2012"/>
      <c r="T12" s="2012"/>
      <c r="U12" s="2012"/>
      <c r="V12" s="2012"/>
    </row>
    <row r="13" spans="1:22" ht="14.25">
      <c r="A13" s="3292"/>
      <c r="B13" s="3318"/>
      <c r="C13" s="3317"/>
      <c r="D13" s="3320"/>
      <c r="E13" s="261" t="s">
        <v>314</v>
      </c>
      <c r="F13" s="262"/>
      <c r="G13" s="262"/>
      <c r="H13" s="262"/>
      <c r="I13" s="263"/>
      <c r="J13" s="2013"/>
      <c r="K13" s="2012"/>
      <c r="L13" s="2012"/>
      <c r="M13" s="2012"/>
      <c r="N13" s="2012"/>
      <c r="O13" s="2012"/>
      <c r="P13" s="2012"/>
      <c r="Q13" s="2012"/>
      <c r="R13" s="2012"/>
      <c r="S13" s="2012"/>
      <c r="T13" s="2012"/>
      <c r="U13" s="2012"/>
      <c r="V13" s="2012"/>
    </row>
    <row r="14" spans="1:22" ht="14.25">
      <c r="A14" s="3292" t="s">
        <v>315</v>
      </c>
      <c r="B14" s="3318">
        <v>30</v>
      </c>
      <c r="C14" s="3316">
        <v>3</v>
      </c>
      <c r="D14" s="3320">
        <v>7</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92"/>
      <c r="B15" s="3318"/>
      <c r="C15" s="3319"/>
      <c r="D15" s="3320"/>
      <c r="E15" s="261" t="s">
        <v>317</v>
      </c>
      <c r="F15" s="262"/>
      <c r="G15" s="262"/>
      <c r="H15" s="262"/>
      <c r="I15" s="263"/>
      <c r="J15" s="2013"/>
      <c r="K15" s="2012"/>
      <c r="L15" s="2012"/>
      <c r="M15" s="2012"/>
      <c r="N15" s="2012"/>
      <c r="O15" s="2012"/>
      <c r="P15" s="2012"/>
      <c r="Q15" s="2012"/>
      <c r="R15" s="2012"/>
      <c r="S15" s="2012"/>
      <c r="T15" s="2012"/>
      <c r="U15" s="2012"/>
      <c r="V15" s="2012"/>
    </row>
    <row r="16" spans="1:22" ht="14.25">
      <c r="A16" s="3292"/>
      <c r="B16" s="3318"/>
      <c r="C16" s="3317"/>
      <c r="D16" s="3320"/>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3</v>
      </c>
      <c r="D17" s="265">
        <f>SUM(D5:D16)</f>
        <v>7</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0.3</v>
      </c>
      <c r="D18" s="267">
        <f>1-C18</f>
        <v>0.7</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7085</v>
      </c>
      <c r="D19" s="271">
        <f ca="1">SUMIF(INDIRECT("'"&amp;D4&amp;"'"&amp;"!A:A"),结果表!B19,INDIRECT("'"&amp;D4&amp;"'"&amp;"!B:B"))</f>
        <v>14251</v>
      </c>
      <c r="E19" s="268" t="s">
        <v>323</v>
      </c>
      <c r="F19" s="269" t="s">
        <v>322</v>
      </c>
      <c r="G19" s="272">
        <f ca="1">ROUND(C19*$C$18+D19*$D$18,0)</f>
        <v>12101</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478</v>
      </c>
      <c r="D20" s="277">
        <f ca="1">SUMIF(INDIRECT("'"&amp;D4&amp;"'"&amp;"!A:A"),结果表!B20,INDIRECT("'"&amp;D4&amp;"'"&amp;"!B:B"))</f>
        <v>961</v>
      </c>
      <c r="E20" s="274"/>
      <c r="F20" s="275" t="s">
        <v>325</v>
      </c>
      <c r="G20" s="278">
        <f ca="1">ROUND(C20*$C$18+D20*$D$18,0)</f>
        <v>816</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3298</v>
      </c>
      <c r="D21" s="151">
        <f ca="1">SUMIF(INDIRECT("'"&amp;D4&amp;"'"&amp;"!A:A"),结果表!B21,INDIRECT("'"&amp;D4&amp;"'"&amp;"!B:B"))</f>
        <v>6633</v>
      </c>
      <c r="E21" s="274"/>
      <c r="F21" s="280" t="s">
        <v>327</v>
      </c>
      <c r="G21" s="282">
        <f ca="1">ROUND(C21*$C$18+D21*$D$18,0)</f>
        <v>5633</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1.0114326040931547</v>
      </c>
      <c r="E22" s="284"/>
      <c r="F22" s="285"/>
      <c r="G22" s="286">
        <f ca="1">ROUND(G19/('数据-汇总表'!D3/666.67),0)</f>
        <v>375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9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299"/>
      <c r="B25" s="1317" t="s">
        <v>331</v>
      </c>
      <c r="C25" s="290">
        <f>IF(B30=0,0,C30)</f>
        <v>0</v>
      </c>
      <c r="D25" s="291"/>
      <c r="E25" s="311"/>
      <c r="F25" s="311"/>
      <c r="G25" s="311"/>
      <c r="H25" s="311"/>
      <c r="I25" s="311"/>
      <c r="J25" s="2012"/>
      <c r="K25" s="1251" t="str">
        <f ca="1">项目基本情况!B16&amp;"国有建设用地使用权价格："&amp;O38&amp;"万元"</f>
        <v>出让国有建设用地使用权价格：12101万元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大写金额：人民币壹亿贰仟壹佰零壹万元整</v>
      </c>
      <c r="L26" s="1248"/>
      <c r="M26" s="1248"/>
      <c r="N26" s="1248"/>
      <c r="O26" s="1247"/>
      <c r="P26" s="2012"/>
      <c r="Q26" s="2012"/>
      <c r="R26" s="2012"/>
      <c r="S26" s="2012"/>
      <c r="T26" s="2012"/>
      <c r="U26" s="2012"/>
      <c r="V26" s="2012"/>
      <c r="W26" s="292"/>
      <c r="X26" s="292"/>
      <c r="Y26" s="292"/>
      <c r="Z26" s="292"/>
    </row>
    <row r="27" spans="1:26" ht="18">
      <c r="A27" s="293"/>
      <c r="B27" s="294"/>
      <c r="C27" s="294"/>
      <c r="D27" s="295">
        <f ca="1">G19/'剩余法-待开发'!C6</f>
        <v>0.1557681337689826</v>
      </c>
      <c r="E27" s="311"/>
      <c r="F27" s="311"/>
      <c r="G27" s="311"/>
      <c r="H27" s="311"/>
      <c r="I27" s="311"/>
      <c r="J27" s="2012"/>
      <c r="K27" s="1254" t="str">
        <f ca="1">"单位面积地价："&amp;M38&amp;"元/平方米"</f>
        <v>单位面积地价：5632元/平方米</v>
      </c>
      <c r="L27" s="1248"/>
      <c r="M27" s="1248"/>
      <c r="N27" s="1248"/>
      <c r="O27" s="1247"/>
      <c r="P27" s="2012"/>
      <c r="Q27" s="2012"/>
      <c r="R27" s="2012"/>
      <c r="S27" s="2012"/>
      <c r="T27" s="2012"/>
      <c r="U27" s="2012"/>
      <c r="V27" s="2012"/>
    </row>
    <row r="28" spans="1:26" ht="18.75" customHeight="1">
      <c r="A28" s="293"/>
      <c r="B28" s="294"/>
      <c r="C28" s="294"/>
      <c r="D28" s="295">
        <f ca="1">G19/'数据-汇总表'!F31</f>
        <v>0.10149104868408439</v>
      </c>
      <c r="E28" s="311"/>
      <c r="F28" s="311"/>
      <c r="G28" s="311"/>
      <c r="H28" s="311"/>
      <c r="I28" s="311"/>
      <c r="J28" s="2012"/>
      <c r="K28" s="1254" t="str">
        <f ca="1">"楼面地价："&amp;N38&amp;"元/平方米"</f>
        <v>楼面地价：816元/平方米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抵押价格：12101万元</v>
      </c>
      <c r="L29" s="1248"/>
      <c r="M29" s="1248"/>
      <c r="N29" s="1248"/>
      <c r="O29" s="1247"/>
      <c r="P29" s="2012"/>
      <c r="V29" s="2012"/>
    </row>
    <row r="30" spans="1:26" ht="18.75" thickBot="1">
      <c r="A30" s="3080" t="s">
        <v>336</v>
      </c>
      <c r="B30" s="309"/>
      <c r="C30" s="309"/>
      <c r="D30" s="310"/>
      <c r="E30" s="3081" t="s">
        <v>2961</v>
      </c>
      <c r="F30" s="311"/>
      <c r="G30" s="311"/>
      <c r="H30" s="311"/>
      <c r="I30" s="311"/>
      <c r="J30" s="2012"/>
      <c r="K30" s="1254" t="str">
        <f ca="1">IF(K29="——","——","大写金额：人民币"&amp;NUMBERSTRING(INT(O39*10000),2)&amp;"元整")</f>
        <v>大写金额：人民币壹亿贰仟壹佰零壹万元整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7" t="s">
        <v>1687</v>
      </c>
      <c r="C32" s="1378">
        <f ca="1">G19-C24</f>
        <v>12101</v>
      </c>
      <c r="D32" s="1379"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0" t="s">
        <v>1689</v>
      </c>
      <c r="C33" s="264">
        <f ca="1">ROUND(C32*10000/'数据-汇总表'!E3,0)</f>
        <v>816</v>
      </c>
      <c r="D33" s="1381" t="s">
        <v>1690</v>
      </c>
      <c r="E33" s="3298" t="s">
        <v>338</v>
      </c>
      <c r="F33" s="296" t="s">
        <v>339</v>
      </c>
      <c r="G33" s="297"/>
      <c r="H33" s="980"/>
      <c r="I33" s="1255"/>
      <c r="J33" s="2012"/>
      <c r="K33" s="1254" t="str">
        <f ca="1">IF(项目基本情况!E9="——","——","抵押净值："&amp;C46&amp;"万元")</f>
        <v>抵押净值：10887万元</v>
      </c>
      <c r="L33" s="1248"/>
      <c r="M33" s="1248"/>
      <c r="N33" s="1248"/>
      <c r="O33" s="1247"/>
      <c r="P33" s="2012"/>
      <c r="V33" s="2012"/>
    </row>
    <row r="34" spans="1:26" s="1250" customFormat="1" ht="18.75" thickBot="1">
      <c r="A34" s="300"/>
      <c r="B34" s="1382" t="s">
        <v>1691</v>
      </c>
      <c r="C34" s="264">
        <f ca="1">ROUND(C32*10000/'数据-汇总表'!D3,0)</f>
        <v>5632</v>
      </c>
      <c r="D34" s="1383" t="s">
        <v>1690</v>
      </c>
      <c r="E34" s="3339"/>
      <c r="F34" s="127" t="s">
        <v>341</v>
      </c>
      <c r="G34" s="299"/>
      <c r="H34" s="105"/>
      <c r="I34" s="311"/>
      <c r="J34" s="2012"/>
      <c r="K34" s="1257" t="str">
        <f ca="1">IF(K33="——","——","大写金额：人民币"&amp;NUMBERSTRING(INT(O41*10000),2)&amp;"元整")</f>
        <v>大写金额：人民币壹亿零捌佰捌拾柒万元整</v>
      </c>
      <c r="L34" s="1258"/>
      <c r="M34" s="1258"/>
      <c r="N34" s="1258"/>
      <c r="O34" s="1259"/>
      <c r="P34" s="2012"/>
      <c r="Q34" s="292"/>
      <c r="R34" s="292"/>
      <c r="S34" s="292"/>
      <c r="T34" s="292"/>
      <c r="U34" s="292"/>
      <c r="V34" s="2012"/>
      <c r="W34" s="292"/>
      <c r="X34" s="292"/>
      <c r="Y34" s="292"/>
      <c r="Z34" s="292"/>
    </row>
    <row r="35" spans="1:26" ht="15.75" thickBot="1">
      <c r="A35" s="284"/>
      <c r="B35" s="1384"/>
      <c r="C35" s="1385">
        <f ca="1">ROUND(C32/('数据-汇总表'!D3/666.67),0)</f>
        <v>375</v>
      </c>
      <c r="D35" s="1386" t="s">
        <v>1692</v>
      </c>
      <c r="E35" s="3340"/>
      <c r="F35" s="301" t="s">
        <v>342</v>
      </c>
      <c r="G35" s="982"/>
      <c r="H35" s="981" t="s">
        <v>343</v>
      </c>
      <c r="I35" s="311"/>
      <c r="J35" s="2012"/>
      <c r="K35" s="3313" t="s">
        <v>350</v>
      </c>
      <c r="L35" s="3313" t="s">
        <v>351</v>
      </c>
      <c r="M35" s="1260" t="s">
        <v>352</v>
      </c>
      <c r="N35" s="3313" t="s">
        <v>353</v>
      </c>
      <c r="O35" s="3313" t="s">
        <v>354</v>
      </c>
      <c r="P35" s="2012"/>
      <c r="V35" s="2012"/>
    </row>
    <row r="36" spans="1:26" ht="16.5" customHeight="1">
      <c r="A36" s="303" t="s">
        <v>344</v>
      </c>
      <c r="B36" s="304" t="s">
        <v>333</v>
      </c>
      <c r="C36" s="305" t="s">
        <v>345</v>
      </c>
      <c r="D36" s="305" t="s">
        <v>346</v>
      </c>
      <c r="E36" s="306" t="s">
        <v>347</v>
      </c>
      <c r="F36" s="311"/>
      <c r="G36" s="311"/>
      <c r="H36" s="311"/>
      <c r="I36" s="311"/>
      <c r="J36" s="2014"/>
      <c r="K36" s="3314"/>
      <c r="L36" s="3314"/>
      <c r="M36" s="1262" t="s">
        <v>355</v>
      </c>
      <c r="N36" s="3314"/>
      <c r="O36" s="3314"/>
      <c r="P36" s="2012"/>
      <c r="V36" s="2012"/>
    </row>
    <row r="37" spans="1:26" ht="16.5" customHeight="1" thickBot="1">
      <c r="A37" s="1256" t="s">
        <v>348</v>
      </c>
      <c r="B37" s="307"/>
      <c r="C37" s="294"/>
      <c r="D37" s="294"/>
      <c r="E37" s="295"/>
      <c r="F37" s="311"/>
      <c r="G37" s="311"/>
      <c r="H37" s="311"/>
      <c r="I37" s="311"/>
      <c r="J37" s="2014"/>
      <c r="K37" s="3315"/>
      <c r="L37" s="3315"/>
      <c r="M37" s="1263"/>
      <c r="N37" s="3315"/>
      <c r="O37" s="3315"/>
      <c r="P37" s="2012"/>
      <c r="V37" s="2012"/>
    </row>
    <row r="38" spans="1:26" ht="16.5" customHeight="1" thickBot="1">
      <c r="A38" s="1256" t="s">
        <v>349</v>
      </c>
      <c r="B38" s="307"/>
      <c r="C38" s="294"/>
      <c r="D38" s="294"/>
      <c r="E38" s="295"/>
      <c r="F38" s="311"/>
      <c r="G38" s="311"/>
      <c r="H38" s="311"/>
      <c r="I38" s="311"/>
      <c r="J38" s="2014"/>
      <c r="K38" s="1264">
        <f>'数据-汇总表'!D3</f>
        <v>21485</v>
      </c>
      <c r="L38" s="1265">
        <f>'数据-汇总表'!E3</f>
        <v>148301.93</v>
      </c>
      <c r="M38" s="1265">
        <f ca="1">C34</f>
        <v>5632</v>
      </c>
      <c r="N38" s="1265">
        <f ca="1">C33</f>
        <v>816</v>
      </c>
      <c r="O38" s="1266">
        <f ca="1">C32</f>
        <v>12101</v>
      </c>
      <c r="P38" s="2012"/>
      <c r="V38" s="2012"/>
    </row>
    <row r="39" spans="1:26" ht="16.5" customHeight="1" thickBot="1">
      <c r="A39" s="1261"/>
      <c r="B39" s="308"/>
      <c r="C39" s="309"/>
      <c r="D39" s="309"/>
      <c r="E39" s="310"/>
      <c r="F39" s="311"/>
      <c r="G39" s="311"/>
      <c r="H39" s="311"/>
      <c r="I39" s="311"/>
      <c r="J39" s="2014"/>
      <c r="K39" s="3358" t="str">
        <f>MID(A44,3,LEN(A44)-2)</f>
        <v>抵押价格</v>
      </c>
      <c r="L39" s="3359"/>
      <c r="M39" s="3359"/>
      <c r="N39" s="3360"/>
      <c r="O39" s="1388">
        <f ca="1">C44</f>
        <v>12101</v>
      </c>
      <c r="P39" s="2012"/>
      <c r="V39" s="2012"/>
    </row>
    <row r="40" spans="1:26" ht="19.5" thickBot="1">
      <c r="A40" s="104" t="s">
        <v>872</v>
      </c>
      <c r="B40" s="311"/>
      <c r="C40" s="311"/>
      <c r="D40" s="311"/>
      <c r="E40" s="311"/>
      <c r="F40" s="311"/>
      <c r="G40" s="311"/>
      <c r="H40" s="311"/>
      <c r="I40" s="311"/>
      <c r="J40" s="2014"/>
      <c r="K40" s="3358" t="str">
        <f t="shared" ref="K40:K41" si="0">MID(A45,3,LEN(A45)-2)</f>
        <v/>
      </c>
      <c r="L40" s="3359"/>
      <c r="M40" s="3359"/>
      <c r="N40" s="3360"/>
      <c r="O40" s="1388" t="str">
        <f>C45</f>
        <v>——</v>
      </c>
      <c r="P40" s="2012"/>
      <c r="V40" s="2012"/>
    </row>
    <row r="41" spans="1:26" ht="16.5" thickBot="1">
      <c r="A41" s="312" t="s">
        <v>356</v>
      </c>
      <c r="B41" s="313"/>
      <c r="C41" s="314" t="s">
        <v>357</v>
      </c>
      <c r="D41" s="315" t="s">
        <v>358</v>
      </c>
      <c r="E41" s="315" t="s">
        <v>359</v>
      </c>
      <c r="F41" s="316" t="s">
        <v>360</v>
      </c>
      <c r="G41" s="311"/>
      <c r="H41" s="311"/>
      <c r="I41" s="311"/>
      <c r="J41" s="2014"/>
      <c r="K41" s="3358" t="str">
        <f t="shared" si="0"/>
        <v>抵押净值</v>
      </c>
      <c r="L41" s="3359"/>
      <c r="M41" s="3359"/>
      <c r="N41" s="3360"/>
      <c r="O41" s="1388">
        <f ca="1">C46</f>
        <v>10887</v>
      </c>
      <c r="P41" s="2012"/>
      <c r="V41" s="2012"/>
    </row>
    <row r="42" spans="1:26" ht="29.25">
      <c r="A42" s="3300" t="s">
        <v>2065</v>
      </c>
      <c r="B42" s="3301"/>
      <c r="C42" s="264">
        <f ca="1">C32</f>
        <v>12101</v>
      </c>
      <c r="D42" s="317">
        <f ca="1">C33</f>
        <v>816</v>
      </c>
      <c r="E42" s="317">
        <f ca="1">C34</f>
        <v>5632</v>
      </c>
      <c r="F42" s="318">
        <f ca="1">C35</f>
        <v>375</v>
      </c>
      <c r="G42" s="311"/>
      <c r="H42" s="311"/>
      <c r="I42" s="319"/>
      <c r="J42" s="2014"/>
      <c r="K42" s="1267" t="s">
        <v>361</v>
      </c>
      <c r="L42" s="2031" t="s">
        <v>362</v>
      </c>
      <c r="M42" s="1268" t="s">
        <v>363</v>
      </c>
      <c r="N42" s="2032" t="s">
        <v>364</v>
      </c>
      <c r="O42" s="2033" t="s">
        <v>365</v>
      </c>
      <c r="P42" s="2012"/>
      <c r="V42" s="2012"/>
    </row>
    <row r="43" spans="1:26" ht="30">
      <c r="A43" s="3311" t="s">
        <v>2725</v>
      </c>
      <c r="B43" s="3312"/>
      <c r="C43" s="264">
        <f>IF(H33="正常操作",G33+G34+G35,G34+G35)</f>
        <v>0</v>
      </c>
      <c r="D43" s="317" t="s">
        <v>43</v>
      </c>
      <c r="E43" s="317" t="s">
        <v>44</v>
      </c>
      <c r="F43" s="318" t="s">
        <v>44</v>
      </c>
      <c r="G43" s="2820" t="s">
        <v>951</v>
      </c>
      <c r="H43" s="311"/>
      <c r="I43" s="319"/>
      <c r="J43" s="2014"/>
      <c r="K43" s="1269" t="str">
        <f>C4</f>
        <v>比较法-住宅、综合</v>
      </c>
      <c r="L43" s="1270">
        <f ca="1">IF(L42="估价结果/万元",C19,C20)</f>
        <v>7085</v>
      </c>
      <c r="M43" s="1271">
        <f>C18</f>
        <v>0.3</v>
      </c>
      <c r="N43" s="1272">
        <f ca="1">IF(N42="测算结果/万元",G19,G20)</f>
        <v>12101</v>
      </c>
      <c r="O43" s="1273">
        <f ca="1">IF(O42="最终结果/万元",C32,C33)</f>
        <v>12101</v>
      </c>
      <c r="P43" s="2012"/>
      <c r="V43" s="2012"/>
    </row>
    <row r="44" spans="1:26" ht="30.75" thickBot="1">
      <c r="A44" s="3300" t="str">
        <f>IF(OR(项目基本情况!E8="抵押价格",项目基本情况!E8="已注销及未注销"),"3.抵押价格","——")</f>
        <v>3.抵押价格</v>
      </c>
      <c r="B44" s="3301"/>
      <c r="C44" s="264">
        <f ca="1">IF(A44="——","——",C42-C43)</f>
        <v>12101</v>
      </c>
      <c r="D44" s="317">
        <f ca="1">ROUND(C44*10000/'数据-汇总表'!E3,0)</f>
        <v>816</v>
      </c>
      <c r="E44" s="317">
        <f ca="1">ROUND(C44*10000/'数据-汇总表'!D3,0)</f>
        <v>5632</v>
      </c>
      <c r="F44" s="318">
        <f ca="1">ROUND(C44/('数据-汇总表'!D3/666.67),0)</f>
        <v>375</v>
      </c>
      <c r="G44" s="311"/>
      <c r="H44" s="311"/>
      <c r="I44" s="319"/>
      <c r="J44" s="2014"/>
      <c r="K44" s="1274" t="str">
        <f>D4</f>
        <v>剩余法-待开发</v>
      </c>
      <c r="L44" s="1275">
        <f ca="1">IF(L42="估价结果/万元",D19,D20)</f>
        <v>14251</v>
      </c>
      <c r="M44" s="1276">
        <f>D18</f>
        <v>0.7</v>
      </c>
      <c r="N44" s="1277"/>
      <c r="O44" s="1278"/>
      <c r="P44" s="2012"/>
      <c r="V44" s="2012"/>
    </row>
    <row r="45" spans="1:26" ht="15">
      <c r="A45" s="3306" t="str">
        <f>IF(项目基本情况!E8="已注销及未注销","4.抵押担保权已注销时的抵押价格",IF(项目基本情况!E8="已注销","3.抵押担保权已注销时的抵押价格","——"))</f>
        <v>——</v>
      </c>
      <c r="B45" s="330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02" t="str">
        <f>IF(项目基本情况!E9="抵押净值",IF(A45="——","4.抵押净值","5.抵押净值"),"——")</f>
        <v>4.抵押净值</v>
      </c>
      <c r="B46" s="3303"/>
      <c r="C46" s="320">
        <f ca="1">IF(A46="——","——",O79)</f>
        <v>10887</v>
      </c>
      <c r="D46" s="317">
        <f ca="1">ROUND(C46*10000/'数据-汇总表'!E3,0)</f>
        <v>734</v>
      </c>
      <c r="E46" s="317">
        <f ca="1">ROUND(C46*10000/'数据-汇总表'!D3,0)</f>
        <v>5067</v>
      </c>
      <c r="F46" s="318">
        <f ca="1">ROUND(C46/('数据-汇总表'!D3/666.67),0)</f>
        <v>338</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47" t="s">
        <v>374</v>
      </c>
      <c r="B63" s="3348"/>
      <c r="C63" s="3349"/>
      <c r="D63" s="341">
        <f ca="1">ROUND(C42*F63,0)</f>
        <v>12101</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08" t="s">
        <v>378</v>
      </c>
      <c r="B64" s="3309"/>
      <c r="C64" s="3309"/>
      <c r="D64" s="3309"/>
      <c r="E64" s="3309"/>
      <c r="F64" s="3309"/>
      <c r="G64" s="3310"/>
      <c r="H64" s="1284"/>
      <c r="I64" s="948"/>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04" t="s">
        <v>386</v>
      </c>
      <c r="B66" s="3305"/>
      <c r="C66" s="3305"/>
      <c r="D66" s="261">
        <f ca="1">IF(H66="情况1",0,IF(H66="情况2",D70,IF(H66="情况3",D71,IF(H66="情况4",D72))))</f>
        <v>645</v>
      </c>
      <c r="E66" s="993" t="str">
        <f>IF(H66="情况4","(销售额-原购置价)×税（费）率","销售额×税（费）率")</f>
        <v>销售额×税（费）率</v>
      </c>
      <c r="F66" s="350">
        <f>IF(H66="情况1","免征",'数据-取费表'!B41)</f>
        <v>5.6000000000000001E-2</v>
      </c>
      <c r="G66" s="351" t="s">
        <v>387</v>
      </c>
      <c r="H66" s="191" t="s">
        <v>3141</v>
      </c>
      <c r="I66" s="1284"/>
      <c r="J66" s="2018"/>
      <c r="K66" s="1287">
        <v>1</v>
      </c>
      <c r="L66" s="3362" t="s">
        <v>385</v>
      </c>
      <c r="M66" s="3363"/>
      <c r="N66" s="2421"/>
      <c r="O66" s="2422"/>
      <c r="P66" s="2423"/>
      <c r="Q66" s="2012"/>
      <c r="R66" s="2012"/>
      <c r="S66" s="2012"/>
      <c r="T66" s="2012"/>
      <c r="U66" s="2012"/>
      <c r="V66" s="2012"/>
    </row>
    <row r="67" spans="1:22" ht="25.5" customHeight="1">
      <c r="A67" s="352" t="s">
        <v>389</v>
      </c>
      <c r="B67" s="3295" t="s">
        <v>390</v>
      </c>
      <c r="C67" s="3295"/>
      <c r="D67" s="353">
        <v>0</v>
      </c>
      <c r="E67" s="41" t="s">
        <v>391</v>
      </c>
      <c r="F67" s="62" t="s">
        <v>21</v>
      </c>
      <c r="G67" s="3350"/>
      <c r="H67" s="311"/>
      <c r="I67" s="1288"/>
      <c r="J67" s="2019"/>
      <c r="K67" s="1960">
        <v>2</v>
      </c>
      <c r="L67" s="3361" t="s">
        <v>388</v>
      </c>
      <c r="M67" s="3361"/>
      <c r="N67" s="1321">
        <f>'数据-取费表'!B2</f>
        <v>43651</v>
      </c>
      <c r="O67" s="1321"/>
      <c r="P67" s="1321"/>
      <c r="Q67" s="2012"/>
      <c r="R67" s="2012"/>
      <c r="S67" s="2012"/>
      <c r="T67" s="2012"/>
      <c r="U67" s="2012"/>
      <c r="V67" s="2012"/>
    </row>
    <row r="68" spans="1:22" ht="25.5" customHeight="1">
      <c r="A68" s="354"/>
      <c r="B68" s="3295" t="s">
        <v>393</v>
      </c>
      <c r="C68" s="3295"/>
      <c r="D68" s="355"/>
      <c r="E68" s="77"/>
      <c r="F68" s="356"/>
      <c r="G68" s="3351"/>
      <c r="H68" s="311"/>
      <c r="I68" s="1288"/>
      <c r="J68" s="2019"/>
      <c r="K68" s="1960">
        <v>3</v>
      </c>
      <c r="L68" s="3361" t="s">
        <v>392</v>
      </c>
      <c r="M68" s="3361"/>
      <c r="N68" s="1289">
        <f ca="1">C42</f>
        <v>12101</v>
      </c>
      <c r="O68" s="1289"/>
      <c r="P68" s="1289"/>
      <c r="Q68" s="2012"/>
      <c r="R68" s="2012"/>
      <c r="S68" s="2012"/>
      <c r="T68" s="2012"/>
      <c r="U68" s="2012"/>
      <c r="V68" s="2012"/>
    </row>
    <row r="69" spans="1:22" ht="12" customHeight="1">
      <c r="A69" s="357"/>
      <c r="B69" s="3295" t="s">
        <v>394</v>
      </c>
      <c r="C69" s="3295"/>
      <c r="D69" s="358"/>
      <c r="E69" s="73"/>
      <c r="F69" s="356"/>
      <c r="G69" s="3352"/>
      <c r="H69" s="311"/>
      <c r="I69" s="1288"/>
      <c r="J69" s="2019"/>
      <c r="K69" s="1290">
        <v>4</v>
      </c>
      <c r="L69" s="3366" t="s">
        <v>2878</v>
      </c>
      <c r="M69" s="3367"/>
      <c r="N69" s="1291">
        <f ca="1">C44</f>
        <v>12101</v>
      </c>
      <c r="O69" s="1291"/>
      <c r="P69" s="1291"/>
      <c r="Q69" s="2012"/>
      <c r="R69" s="2012"/>
      <c r="S69" s="2012"/>
      <c r="T69" s="2012"/>
      <c r="U69" s="2012"/>
      <c r="V69" s="2012"/>
    </row>
    <row r="70" spans="1:22" ht="24" customHeight="1">
      <c r="A70" s="359" t="s">
        <v>395</v>
      </c>
      <c r="B70" s="3295" t="s">
        <v>396</v>
      </c>
      <c r="C70" s="3295"/>
      <c r="D70" s="358">
        <f ca="1">ROUND(D63*'数据-取费表'!B41/(1+'数据-取费表'!C42),0)</f>
        <v>645</v>
      </c>
      <c r="E70" s="17" t="s">
        <v>397</v>
      </c>
      <c r="F70" s="360">
        <f>'数据-取费表'!B41</f>
        <v>5.6000000000000001E-2</v>
      </c>
      <c r="G70" s="361"/>
      <c r="H70" s="311"/>
      <c r="I70" s="1288"/>
      <c r="J70" s="2019"/>
      <c r="K70" s="3012"/>
      <c r="L70" s="3013"/>
      <c r="M70" s="3013"/>
      <c r="N70" s="3014" t="s">
        <v>2882</v>
      </c>
      <c r="O70" s="3013"/>
      <c r="P70" s="3015"/>
      <c r="Q70" s="2012"/>
      <c r="R70" s="2012"/>
      <c r="S70" s="2012"/>
      <c r="T70" s="2012"/>
      <c r="U70" s="2012"/>
      <c r="V70" s="2012"/>
    </row>
    <row r="71" spans="1:22" ht="12" customHeight="1">
      <c r="A71" s="359" t="s">
        <v>403</v>
      </c>
      <c r="B71" s="3296" t="s">
        <v>404</v>
      </c>
      <c r="C71" s="3297"/>
      <c r="D71" s="358">
        <f ca="1">ROUND(D63*'数据-取费表'!B41/(1+'数据-取费表'!C42),0)</f>
        <v>645</v>
      </c>
      <c r="E71" s="17" t="s">
        <v>397</v>
      </c>
      <c r="F71" s="360">
        <f>'数据-取费表'!B41</f>
        <v>5.6000000000000001E-2</v>
      </c>
      <c r="G71" s="361"/>
      <c r="H71" s="311"/>
      <c r="I71" s="1288"/>
      <c r="J71" s="2019"/>
      <c r="K71" s="3011" t="s">
        <v>398</v>
      </c>
      <c r="L71" s="3368" t="s">
        <v>399</v>
      </c>
      <c r="M71" s="3368"/>
      <c r="N71" s="3011" t="s">
        <v>400</v>
      </c>
      <c r="O71" s="3011" t="s">
        <v>401</v>
      </c>
      <c r="P71" s="3011" t="s">
        <v>402</v>
      </c>
      <c r="Q71" s="2012"/>
      <c r="R71" s="2012"/>
      <c r="S71" s="2012"/>
      <c r="T71" s="2012"/>
      <c r="U71" s="2012"/>
      <c r="V71" s="2012"/>
    </row>
    <row r="72" spans="1:22" ht="12" customHeight="1">
      <c r="A72" s="359" t="s">
        <v>406</v>
      </c>
      <c r="B72" s="3296" t="s">
        <v>407</v>
      </c>
      <c r="C72" s="3297"/>
      <c r="D72" s="358">
        <f ca="1">C86</f>
        <v>533</v>
      </c>
      <c r="E72" s="73" t="s">
        <v>408</v>
      </c>
      <c r="F72" s="360">
        <f>'数据-取费表'!B41</f>
        <v>5.6000000000000001E-2</v>
      </c>
      <c r="G72" s="361"/>
      <c r="H72" s="1294"/>
      <c r="I72" s="1288"/>
      <c r="J72" s="2019"/>
      <c r="K72" s="1960">
        <v>1</v>
      </c>
      <c r="L72" s="3343" t="s">
        <v>405</v>
      </c>
      <c r="M72" s="3343"/>
      <c r="N72" s="1292">
        <f ca="1">D66</f>
        <v>645</v>
      </c>
      <c r="O72" s="1843" t="str">
        <f>E66</f>
        <v>销售额×税（费）率</v>
      </c>
      <c r="P72" s="1293">
        <f>F66</f>
        <v>5.6000000000000001E-2</v>
      </c>
      <c r="Q72" s="2012"/>
      <c r="R72" s="2012"/>
      <c r="S72" s="2012"/>
      <c r="T72" s="2012"/>
      <c r="U72" s="2012"/>
      <c r="V72" s="2012"/>
    </row>
    <row r="73" spans="1:22" ht="24" customHeight="1">
      <c r="A73" s="3337" t="s">
        <v>410</v>
      </c>
      <c r="B73" s="3305"/>
      <c r="C73" s="3305"/>
      <c r="D73" s="362">
        <f ca="1">IF(H73="个人住宅",0,ROUND(D63*I73,0))</f>
        <v>6</v>
      </c>
      <c r="E73" s="17" t="s">
        <v>411</v>
      </c>
      <c r="F73" s="360">
        <f>IF(H73="正常",I73,"免征")</f>
        <v>5.0000000000000001E-4</v>
      </c>
      <c r="G73" s="361"/>
      <c r="H73" s="191" t="s">
        <v>3142</v>
      </c>
      <c r="I73" s="360">
        <f>'数据-取费表'!B49</f>
        <v>5.0000000000000001E-4</v>
      </c>
      <c r="J73" s="2019"/>
      <c r="K73" s="1960">
        <v>2</v>
      </c>
      <c r="L73" s="3343" t="s">
        <v>409</v>
      </c>
      <c r="M73" s="3343"/>
      <c r="N73" s="1292">
        <f t="shared" ref="N73:P74" ca="1" si="1">D73</f>
        <v>6</v>
      </c>
      <c r="O73" s="1843" t="str">
        <f t="shared" si="1"/>
        <v>销售额×税（费）率</v>
      </c>
      <c r="P73" s="1293">
        <f t="shared" si="1"/>
        <v>5.0000000000000001E-4</v>
      </c>
      <c r="Q73" s="2012"/>
      <c r="R73" s="2012"/>
      <c r="S73" s="2012"/>
      <c r="T73" s="2012"/>
      <c r="U73" s="2012"/>
      <c r="V73" s="2012"/>
    </row>
    <row r="74" spans="1:22" ht="24.75">
      <c r="A74" s="3337" t="s">
        <v>414</v>
      </c>
      <c r="B74" s="3305"/>
      <c r="C74" s="3305"/>
      <c r="D74" s="362">
        <f ca="1">IF(H74="个人住宅",D75,D76)</f>
        <v>563</v>
      </c>
      <c r="E74" s="17" t="s">
        <v>415</v>
      </c>
      <c r="F74" s="360" t="str">
        <f>IF(H74="正常",F76,"免征")</f>
        <v>——</v>
      </c>
      <c r="G74" s="983" t="s">
        <v>416</v>
      </c>
      <c r="H74" s="363" t="s">
        <v>412</v>
      </c>
      <c r="I74" s="42"/>
      <c r="J74" s="2019"/>
      <c r="K74" s="1960">
        <v>3</v>
      </c>
      <c r="L74" s="3343" t="s">
        <v>413</v>
      </c>
      <c r="M74" s="3343"/>
      <c r="N74" s="1292">
        <f t="shared" ca="1" si="1"/>
        <v>563</v>
      </c>
      <c r="O74" s="1843" t="str">
        <f t="shared" si="1"/>
        <v>增值额×税（费）率</v>
      </c>
      <c r="P74" s="1295" t="str">
        <f t="shared" si="1"/>
        <v>——</v>
      </c>
      <c r="Q74" s="2012"/>
      <c r="R74" s="2012"/>
      <c r="S74" s="2012"/>
      <c r="T74" s="2012"/>
      <c r="U74" s="2012"/>
      <c r="V74" s="2012"/>
    </row>
    <row r="75" spans="1:22" ht="12.75">
      <c r="A75" s="359" t="s">
        <v>417</v>
      </c>
      <c r="B75" s="3293" t="s">
        <v>418</v>
      </c>
      <c r="C75" s="3323"/>
      <c r="D75" s="364">
        <v>0</v>
      </c>
      <c r="E75" s="41" t="s">
        <v>419</v>
      </c>
      <c r="F75" s="365"/>
      <c r="G75" s="361"/>
      <c r="H75" s="42"/>
      <c r="I75" s="42"/>
      <c r="J75" s="2019"/>
      <c r="K75" s="3004" t="str">
        <f>IF(H77="非个人房产","",4)</f>
        <v/>
      </c>
      <c r="L75" s="3343" t="str">
        <f>IF(H77="非个人房产","——","个人所得税")</f>
        <v>——</v>
      </c>
      <c r="M75" s="3343"/>
      <c r="N75" s="1296" t="str">
        <f>D77</f>
        <v>——</v>
      </c>
      <c r="O75" s="1856" t="str">
        <f>E77</f>
        <v>——</v>
      </c>
      <c r="P75" s="1297" t="str">
        <f>F77</f>
        <v>——</v>
      </c>
      <c r="Q75" s="2012"/>
      <c r="R75" s="2012"/>
      <c r="S75" s="2012"/>
      <c r="T75" s="2012"/>
      <c r="U75" s="2012"/>
      <c r="V75" s="2012"/>
    </row>
    <row r="76" spans="1:22" ht="24.75">
      <c r="A76" s="359" t="s">
        <v>395</v>
      </c>
      <c r="B76" s="3293" t="s">
        <v>421</v>
      </c>
      <c r="C76" s="3294"/>
      <c r="D76" s="362">
        <f ca="1">IF(H76="转让取得",C99,C115)</f>
        <v>563</v>
      </c>
      <c r="E76" s="17" t="s">
        <v>422</v>
      </c>
      <c r="F76" s="53" t="s">
        <v>21</v>
      </c>
      <c r="G76" s="361"/>
      <c r="H76" s="363" t="s">
        <v>423</v>
      </c>
      <c r="I76" s="42"/>
      <c r="J76" s="2019"/>
      <c r="K76" s="3004" t="str">
        <f>IF(项目基本情况!K6="上海银行",IF(K75="",4,K75+1),"")</f>
        <v/>
      </c>
      <c r="L76" s="3354" t="str">
        <f>IF(项目基本情况!K6="上海银行","其他处置费用","")</f>
        <v/>
      </c>
      <c r="M76" s="3355"/>
      <c r="N76" s="1292" t="str">
        <f>IF(项目基本情况!K6="上海银行",N89,"")</f>
        <v/>
      </c>
      <c r="O76" s="3356" t="str">
        <f>IF(项目基本情况!K6="上海银行","包含处置中涉及的律师、诉讼、拍卖、评估等费用","")</f>
        <v/>
      </c>
      <c r="P76" s="3357"/>
      <c r="Q76" s="2012"/>
      <c r="R76" s="2012"/>
      <c r="S76" s="2012"/>
      <c r="T76" s="2012"/>
      <c r="U76" s="2012"/>
      <c r="V76" s="2012"/>
    </row>
    <row r="77" spans="1:22" ht="24.75" thickBot="1">
      <c r="A77" s="3345" t="s">
        <v>425</v>
      </c>
      <c r="B77" s="3346"/>
      <c r="C77" s="3346"/>
      <c r="D77" s="366" t="str">
        <f>IF(H77="非个人房产","——",IF(H77="个人住宅",0,ROUND(D63*I77,0)))</f>
        <v>——</v>
      </c>
      <c r="E77" s="367" t="str">
        <f>IF(H77="非个人房产","——","销售额×税（费）率")</f>
        <v>——</v>
      </c>
      <c r="F77" s="368" t="str">
        <f>IF(H77="非个人房产","——",IF(H77="个人住宅","免征",I77))</f>
        <v>——</v>
      </c>
      <c r="G77" s="984" t="s">
        <v>416</v>
      </c>
      <c r="H77" s="363" t="s">
        <v>3143</v>
      </c>
      <c r="I77" s="369">
        <v>0.01</v>
      </c>
      <c r="J77" s="2019"/>
      <c r="K77" s="3344">
        <f>IF(AND(K75="",K76=""),4,IF(项目基本情况!K6="上海银行",K76+1,K75+1))</f>
        <v>4</v>
      </c>
      <c r="L77" s="3343" t="s">
        <v>2879</v>
      </c>
      <c r="M77" s="3010" t="s">
        <v>420</v>
      </c>
      <c r="N77" s="1298"/>
      <c r="O77" s="1299">
        <f ca="1">SUMIF(N72:N76,"&lt;9e307")</f>
        <v>1214</v>
      </c>
      <c r="P77" s="1300"/>
      <c r="Q77" s="3008">
        <f ca="1">O77/N69</f>
        <v>0.10032228741426329</v>
      </c>
      <c r="R77" s="2012"/>
      <c r="S77" s="2012"/>
      <c r="T77" s="2012"/>
      <c r="U77" s="2012"/>
      <c r="V77" s="2012"/>
    </row>
    <row r="78" spans="1:22" ht="12" customHeight="1">
      <c r="A78" s="1301"/>
      <c r="B78" s="311"/>
      <c r="C78" s="311"/>
      <c r="D78" s="311"/>
      <c r="E78" s="42"/>
      <c r="F78" s="42"/>
      <c r="G78" s="42"/>
      <c r="H78" s="1003"/>
      <c r="I78" s="311"/>
      <c r="J78" s="2019"/>
      <c r="K78" s="3344"/>
      <c r="L78" s="3343"/>
      <c r="M78" s="3010" t="s">
        <v>424</v>
      </c>
      <c r="N78" s="1298"/>
      <c r="O78" s="1299" t="str">
        <f ca="1">NUMBERSTRING(INT(O77*10000),2)&amp;"元整"</f>
        <v>壹仟贰佰壹拾肆万元整</v>
      </c>
      <c r="P78" s="1300"/>
      <c r="Q78" s="2012"/>
      <c r="R78" s="2012"/>
      <c r="S78" s="2012"/>
      <c r="T78" s="2012"/>
      <c r="U78" s="2012"/>
      <c r="V78" s="2012"/>
    </row>
    <row r="79" spans="1:22" ht="13.5" thickBot="1">
      <c r="A79" s="3338" t="s">
        <v>426</v>
      </c>
      <c r="B79" s="3338"/>
      <c r="C79" s="3338"/>
      <c r="D79" s="3338"/>
      <c r="E79" s="3338"/>
      <c r="F79" s="42"/>
      <c r="G79" s="42"/>
      <c r="H79" s="1003"/>
      <c r="I79" s="311"/>
      <c r="J79" s="2019"/>
      <c r="K79" s="3364">
        <f>K77+1</f>
        <v>5</v>
      </c>
      <c r="L79" s="3343" t="s">
        <v>2880</v>
      </c>
      <c r="M79" s="3010" t="s">
        <v>420</v>
      </c>
      <c r="N79" s="1298"/>
      <c r="O79" s="1299">
        <f ca="1">N69-O77</f>
        <v>10887</v>
      </c>
      <c r="P79" s="1300"/>
      <c r="Q79" s="2012"/>
      <c r="R79" s="2012"/>
      <c r="S79" s="2012"/>
      <c r="T79" s="2012"/>
      <c r="U79" s="2012"/>
      <c r="V79" s="2012"/>
    </row>
    <row r="80" spans="1:22" ht="25.5">
      <c r="A80" s="3333" t="s">
        <v>427</v>
      </c>
      <c r="B80" s="3334"/>
      <c r="C80" s="994"/>
      <c r="D80" s="994" t="s">
        <v>428</v>
      </c>
      <c r="E80" s="370" t="s">
        <v>429</v>
      </c>
      <c r="F80" s="42"/>
      <c r="G80" s="42"/>
      <c r="H80" s="1003"/>
      <c r="I80" s="311"/>
      <c r="J80" s="2012"/>
      <c r="K80" s="3365"/>
      <c r="L80" s="3343"/>
      <c r="M80" s="3010" t="s">
        <v>424</v>
      </c>
      <c r="N80" s="1298"/>
      <c r="O80" s="1299" t="str">
        <f ca="1">NUMBERSTRING(INT(O79*10000),2)&amp;"元整"</f>
        <v>壹亿零捌佰捌拾柒万元整</v>
      </c>
      <c r="P80" s="1300"/>
      <c r="Q80" s="2012"/>
      <c r="R80" s="2012"/>
      <c r="S80" s="2012"/>
      <c r="T80" s="2012"/>
      <c r="U80" s="2012"/>
      <c r="V80" s="2012"/>
    </row>
    <row r="81" spans="1:26" ht="13.5" thickBot="1">
      <c r="A81" s="381" t="s">
        <v>1822</v>
      </c>
      <c r="B81" s="371" t="s">
        <v>430</v>
      </c>
      <c r="C81" s="372">
        <f ca="1">ROUND((C82+C83)/(1+'数据-取费表'!C42),0)</f>
        <v>11525</v>
      </c>
      <c r="D81" s="373"/>
      <c r="E81" s="374"/>
      <c r="F81" s="42"/>
      <c r="G81" s="42"/>
      <c r="H81" s="1003"/>
      <c r="I81" s="311"/>
      <c r="J81" s="2012"/>
      <c r="K81" s="3004">
        <f>K79+1</f>
        <v>6</v>
      </c>
      <c r="L81" s="3341" t="s">
        <v>2881</v>
      </c>
      <c r="M81" s="3342"/>
      <c r="N81" s="1302"/>
      <c r="O81" s="1303">
        <f ca="1">ROUND(O79*10000/'数据-汇总表'!E3,0)</f>
        <v>734</v>
      </c>
      <c r="P81" s="1304"/>
      <c r="Q81" s="2012"/>
      <c r="R81" s="2012"/>
      <c r="S81" s="2012"/>
      <c r="T81" s="2012"/>
      <c r="U81" s="2012"/>
      <c r="V81" s="2012"/>
    </row>
    <row r="82" spans="1:26" ht="13.5" thickTop="1">
      <c r="A82" s="375" t="s">
        <v>1823</v>
      </c>
      <c r="B82" s="376" t="s">
        <v>431</v>
      </c>
      <c r="C82" s="377">
        <f ca="1">D63</f>
        <v>12101</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53" t="s">
        <v>2869</v>
      </c>
      <c r="L83" s="3016" t="s">
        <v>2870</v>
      </c>
      <c r="M83" s="3006">
        <f ca="1">IF(N69&gt;10000,N69*0.5%,IF(AND(N69&gt;1000,N69&lt;=10000),N69*1%,IF(AND(N69&gt;100,N69&lt;=1000),N69*3%,IF(AND(N69&gt;10,N69&lt;=100),N69*5%,N69*8%))))</f>
        <v>60.505000000000003</v>
      </c>
      <c r="N83" s="53">
        <f ca="1">ROUND(M83,1)</f>
        <v>60.5</v>
      </c>
      <c r="O83" s="3009"/>
      <c r="P83" s="2012"/>
      <c r="Q83" s="2012"/>
      <c r="R83" s="2012"/>
      <c r="S83" s="2012"/>
      <c r="T83" s="2012"/>
      <c r="U83" s="2012"/>
      <c r="V83" s="2012"/>
    </row>
    <row r="84" spans="1:26" ht="12.75">
      <c r="A84" s="381" t="s">
        <v>1825</v>
      </c>
      <c r="B84" s="382" t="s">
        <v>433</v>
      </c>
      <c r="C84" s="383">
        <v>2000</v>
      </c>
      <c r="D84" s="384" t="s">
        <v>19</v>
      </c>
      <c r="E84" s="3051" t="s">
        <v>2934</v>
      </c>
      <c r="F84" s="42"/>
      <c r="G84" s="42"/>
      <c r="H84" s="1003"/>
      <c r="I84" s="311"/>
      <c r="J84" s="2012"/>
      <c r="K84" s="3353"/>
      <c r="L84" s="3016" t="s">
        <v>2871</v>
      </c>
      <c r="M84" s="3006">
        <f ca="1">IF(N69&gt;2000,N69*0.5%,IF(AND(N69&gt;1000,N69&lt;=2000),N69*0.6%,IF(AND(N69&gt;500,N69&lt;=1000),N69*0.7%,IF(AND(N69&gt;200,N69&lt;=500),N69*0.8%,IF(AND(N69&gt;100,N69&lt;=200),N69*0.9%,IF(AND(N69&gt;50,N69&lt;=100),N69*1%,IF(AND(N69&gt;20,N69&lt;=50),N69*1.5%,IF(AND(N69&gt;10,N69&lt;=20),N69*2%,IF(AND(N69&gt;1,N69&lt;=10),N69*2.5%)))))))))</f>
        <v>60.505000000000003</v>
      </c>
      <c r="N84" s="53">
        <f t="shared" ref="N84:N85" ca="1" si="2">ROUND(M84,1)</f>
        <v>60.5</v>
      </c>
      <c r="O84" s="2012" t="s">
        <v>2872</v>
      </c>
      <c r="P84" s="2012"/>
      <c r="Q84" s="2012"/>
      <c r="R84" s="2012"/>
      <c r="S84" s="2012"/>
      <c r="T84" s="2012"/>
      <c r="U84" s="2012"/>
      <c r="V84" s="2012"/>
    </row>
    <row r="85" spans="1:26" ht="12.75">
      <c r="A85" s="381" t="s">
        <v>1826</v>
      </c>
      <c r="B85" s="382" t="s">
        <v>434</v>
      </c>
      <c r="C85" s="385">
        <f ca="1">C81-C84</f>
        <v>9525</v>
      </c>
      <c r="D85" s="378" t="s">
        <v>19</v>
      </c>
      <c r="E85" s="379"/>
      <c r="F85" s="42"/>
      <c r="G85" s="42"/>
      <c r="H85" s="1003"/>
      <c r="I85" s="311"/>
      <c r="J85" s="2012"/>
      <c r="K85" s="3353"/>
      <c r="L85" s="3016" t="s">
        <v>2873</v>
      </c>
      <c r="M85" s="3006">
        <f ca="1">IF(N69&gt;1000,N69*0.1%,IF(AND(N69&gt;500,N69&lt;=1000),N69*0.5%,IF(AND(N69&gt;50,N69&lt;=500),N69*1%,IF(AND(N69&gt;1,N69&lt;=50),N69*1.5%))))</f>
        <v>12.101000000000001</v>
      </c>
      <c r="N85" s="53">
        <f t="shared" ca="1" si="2"/>
        <v>12.1</v>
      </c>
      <c r="O85" s="2012" t="s">
        <v>2872</v>
      </c>
      <c r="P85" s="2012"/>
      <c r="Q85" s="2012"/>
      <c r="R85" s="2012"/>
      <c r="S85" s="2012"/>
      <c r="T85" s="2012"/>
      <c r="U85" s="2012"/>
      <c r="V85" s="2012"/>
    </row>
    <row r="86" spans="1:26" ht="13.5" thickBot="1">
      <c r="A86" s="386" t="s">
        <v>1827</v>
      </c>
      <c r="B86" s="387" t="s">
        <v>435</v>
      </c>
      <c r="C86" s="388">
        <f ca="1">IF(C85&lt;=0,0,ROUND(C85*D86,0))</f>
        <v>533</v>
      </c>
      <c r="D86" s="389">
        <f>'数据-取费表'!B41</f>
        <v>5.6000000000000001E-2</v>
      </c>
      <c r="E86" s="390"/>
      <c r="F86" s="42"/>
      <c r="G86" s="42"/>
      <c r="H86" s="1003"/>
      <c r="I86" s="311"/>
      <c r="J86" s="2012"/>
      <c r="K86" s="3353"/>
      <c r="L86" s="3016" t="s">
        <v>2874</v>
      </c>
      <c r="M86" s="3006">
        <f ca="1">N69*0.5%</f>
        <v>60.505000000000003</v>
      </c>
      <c r="N86" s="53">
        <f ca="1">IF(M86&gt;0.5,0.5,ROUND(M86,0))</f>
        <v>0.5</v>
      </c>
      <c r="O86" s="2012" t="s">
        <v>2875</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53"/>
      <c r="L87" s="3016" t="s">
        <v>2876</v>
      </c>
      <c r="M87" s="3006">
        <f ca="1">IF(N69&gt;=10000,(8.25+(N69-10000)*0.01%),IF(AND(N69&gt;=8000,N69&lt;10000),(7.85+(N69-8000)*0.02%),IF(AND(N69&gt;=5000,N69&lt;8000),(6.65+(N69-5000)*0.04%),IF(AND(N69&gt;=2000,N69&lt;5000),(4.25+(PN69-2000)*0.08%),IF(AND(N69&gt;=1000,N69&lt;2000),(2.75+(N69-1000)*0.15%),IF(AND(N69&gt;=100,N69&lt;1000),(0.5+(N69-100)*0.25%),IF(AND(N69&gt;0,N69&lt;100),N69*0.5%)))))))</f>
        <v>8.4601000000000006</v>
      </c>
      <c r="N87" s="53">
        <f ca="1">ROUND(M87*0.9,1)</f>
        <v>7.6</v>
      </c>
      <c r="O87" s="3009"/>
      <c r="P87" s="311"/>
      <c r="Q87" s="2012"/>
      <c r="R87" s="2012"/>
      <c r="S87" s="2012"/>
      <c r="T87" s="2012"/>
      <c r="U87" s="2012"/>
      <c r="V87" s="2012"/>
      <c r="W87" s="292"/>
      <c r="X87" s="292"/>
      <c r="Y87" s="292"/>
      <c r="Z87" s="292"/>
    </row>
    <row r="88" spans="1:26" s="1310" customFormat="1" ht="15" thickBot="1">
      <c r="A88" s="3335" t="s">
        <v>436</v>
      </c>
      <c r="B88" s="3336"/>
      <c r="C88" s="3336"/>
      <c r="D88" s="3336"/>
      <c r="E88" s="3336"/>
      <c r="F88" s="3336"/>
      <c r="G88" s="3336"/>
      <c r="H88" s="3336"/>
      <c r="I88" s="1311"/>
      <c r="J88" s="2020"/>
      <c r="K88" s="3353"/>
      <c r="L88" s="3016" t="s">
        <v>2877</v>
      </c>
      <c r="M88" s="3006">
        <f ca="1">IF(N69&gt;10000,N69*0.5%,IF(AND(N69&gt;5000,N69&lt;=10000),N69*1%,IF(AND(N69&gt;1000,N69&lt;=5000),N69*2%,IF(AND(N69&gt;200,N69&lt;=1000),N69*3%,N69*5%))))</f>
        <v>60.505000000000003</v>
      </c>
      <c r="N88" s="53">
        <f ca="1">ROUND(M88,1)</f>
        <v>60.5</v>
      </c>
      <c r="O88" s="3009"/>
      <c r="P88" s="11"/>
      <c r="Q88" s="2017"/>
      <c r="R88" s="2017"/>
      <c r="S88" s="2017"/>
      <c r="T88" s="2017"/>
      <c r="U88" s="2017"/>
      <c r="V88" s="2017"/>
      <c r="W88" s="2021"/>
      <c r="X88" s="2021"/>
      <c r="Y88" s="2021"/>
      <c r="Z88" s="2021"/>
    </row>
    <row r="89" spans="1:26" s="1310" customFormat="1" ht="14.25">
      <c r="A89" s="3333" t="s">
        <v>427</v>
      </c>
      <c r="B89" s="3334"/>
      <c r="C89" s="994"/>
      <c r="D89" s="994" t="s">
        <v>428</v>
      </c>
      <c r="E89" s="391" t="s">
        <v>437</v>
      </c>
      <c r="F89" s="392"/>
      <c r="G89" s="392"/>
      <c r="H89" s="393"/>
      <c r="I89" s="1312"/>
      <c r="J89" s="2022"/>
      <c r="K89" s="3353"/>
      <c r="L89" s="3016" t="s">
        <v>27</v>
      </c>
      <c r="M89" s="3007"/>
      <c r="N89" s="53">
        <f ca="1">ROUND(SUM(N83:N88),0)</f>
        <v>202</v>
      </c>
      <c r="O89" s="3017">
        <f ca="1">N89/N69</f>
        <v>1.6692835302867533E-2</v>
      </c>
      <c r="P89" s="2017"/>
      <c r="Q89" s="2017"/>
      <c r="R89" s="2017"/>
      <c r="S89" s="2017"/>
      <c r="T89" s="2017"/>
      <c r="U89" s="2017"/>
      <c r="V89" s="2017"/>
      <c r="W89" s="2021"/>
      <c r="X89" s="2021"/>
      <c r="Y89" s="2021"/>
      <c r="Z89" s="2021"/>
    </row>
    <row r="90" spans="1:26" s="1310" customFormat="1" ht="14.25">
      <c r="A90" s="381" t="s">
        <v>1822</v>
      </c>
      <c r="B90" s="382" t="s">
        <v>438</v>
      </c>
      <c r="C90" s="385">
        <f ca="1">ROUND(D63/(1+'数据-取费表'!C42),0)</f>
        <v>11525</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1828</v>
      </c>
      <c r="B91" s="348" t="s">
        <v>439</v>
      </c>
      <c r="C91" s="385">
        <f ca="1">C92+C96</f>
        <v>2650</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440</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445</v>
      </c>
      <c r="C94" s="378">
        <f>IF(F93="购房发票",ROUND(C93*H93*5%,0),0)</f>
        <v>500</v>
      </c>
      <c r="D94" s="401">
        <v>0.05</v>
      </c>
      <c r="E94" s="3296" t="s">
        <v>446</v>
      </c>
      <c r="F94" s="3295"/>
      <c r="G94" s="3295"/>
      <c r="H94" s="3332"/>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449</v>
      </c>
      <c r="C96" s="405">
        <f ca="1">ROUND(D63*D96/(1+'数据-取费表'!C42),0)</f>
        <v>69</v>
      </c>
      <c r="D96" s="406">
        <f>'数据-取费表'!B43</f>
        <v>6.000000000000001E-3</v>
      </c>
      <c r="E96" s="3324" t="s">
        <v>2425</v>
      </c>
      <c r="F96" s="3325"/>
      <c r="G96" s="3325"/>
      <c r="H96" s="3326"/>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2" t="s">
        <v>1834</v>
      </c>
      <c r="B97" s="382" t="s">
        <v>450</v>
      </c>
      <c r="C97" s="385">
        <f ca="1">C90-C91</f>
        <v>8875</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2" t="s">
        <v>1835</v>
      </c>
      <c r="B98" s="382" t="s">
        <v>451</v>
      </c>
      <c r="C98" s="407">
        <f ca="1">IF(C97&lt;=0,0,C97/C91)</f>
        <v>3.3490566037735849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3" t="s">
        <v>1836</v>
      </c>
      <c r="B99" s="387" t="s">
        <v>452</v>
      </c>
      <c r="C99" s="408">
        <f ca="1">ROUND(IF(C97&lt;=0,0,IF(C98&gt;=200%,C97*60%-C91*35%,IF(C98&gt;=100%,C97*50%-C91*15%,IF(C98&gt;=50%,C97*40%-C91*5%,IF(C98&lt;50%,C97*30%,0))))),0)</f>
        <v>4398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35" t="s">
        <v>453</v>
      </c>
      <c r="B101" s="3336"/>
      <c r="C101" s="3336"/>
      <c r="D101" s="3336"/>
      <c r="E101" s="3336"/>
      <c r="F101" s="3336"/>
      <c r="G101" s="3336"/>
      <c r="H101" s="3336"/>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33" t="s">
        <v>427</v>
      </c>
      <c r="B102" s="3334"/>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1822</v>
      </c>
      <c r="B103" s="382" t="s">
        <v>438</v>
      </c>
      <c r="C103" s="385">
        <f ca="1">ROUND(D63/(1+'数据-取费表'!C42),0)</f>
        <v>11525</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1828</v>
      </c>
      <c r="B104" s="348" t="s">
        <v>439</v>
      </c>
      <c r="C104" s="385">
        <f ca="1">IF(H106="仅含出让金",C105+C108+C109+C110+C111+C112,C105+C109+C110+C111+C112)</f>
        <v>9649.099737999999</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1829</v>
      </c>
      <c r="B105" s="376" t="s">
        <v>454</v>
      </c>
      <c r="C105" s="405">
        <f>C106+C107</f>
        <v>8709.099737999999</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1830</v>
      </c>
      <c r="B106" s="376" t="s">
        <v>455</v>
      </c>
      <c r="C106" s="416">
        <f>K117*'数据-汇总表'!F31/10000</f>
        <v>8370.099737999999</v>
      </c>
      <c r="D106" s="406"/>
      <c r="E106" s="417" t="s">
        <v>456</v>
      </c>
      <c r="F106" s="986"/>
      <c r="G106" s="418" t="s">
        <v>457</v>
      </c>
      <c r="H106" s="419" t="s">
        <v>3144</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1831</v>
      </c>
      <c r="B107" s="376" t="s">
        <v>447</v>
      </c>
      <c r="C107" s="405">
        <f>ROUND(C106*D107,0)</f>
        <v>339</v>
      </c>
      <c r="D107" s="406">
        <f>'数据-取费表'!B48+'数据-取费表'!B49</f>
        <v>4.0500000000000001E-2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4" t="s">
        <v>1837</v>
      </c>
      <c r="B109" s="376" t="s">
        <v>460</v>
      </c>
      <c r="C109" s="405">
        <f>IF(H109="——",IF(F1="现房",'剩余法-现房'!C18,'剩余法-待开发'!C18),I109)</f>
        <v>0</v>
      </c>
      <c r="D109" s="406"/>
      <c r="E109" s="3327" t="s">
        <v>461</v>
      </c>
      <c r="F109" s="3325"/>
      <c r="G109" s="3325"/>
      <c r="H109" s="1925" t="s">
        <v>2277</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4" t="s">
        <v>1838</v>
      </c>
      <c r="B110" s="376" t="s">
        <v>462</v>
      </c>
      <c r="C110" s="405">
        <f>ROUND((C105+C108+C109)*D110,0)</f>
        <v>871</v>
      </c>
      <c r="D110" s="406">
        <v>0.1</v>
      </c>
      <c r="E110" s="3327" t="s">
        <v>463</v>
      </c>
      <c r="F110" s="3325"/>
      <c r="G110" s="3325"/>
      <c r="H110" s="3326"/>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4" t="s">
        <v>1839</v>
      </c>
      <c r="B111" s="376" t="s">
        <v>449</v>
      </c>
      <c r="C111" s="405">
        <f ca="1">ROUND(D63*D111/(1+'数据-取费表'!C42),0)</f>
        <v>69</v>
      </c>
      <c r="D111" s="406">
        <f>'数据-取费表'!B43</f>
        <v>6.000000000000001E-3</v>
      </c>
      <c r="E111" s="3324" t="s">
        <v>2425</v>
      </c>
      <c r="F111" s="3325"/>
      <c r="G111" s="3325"/>
      <c r="H111" s="3326"/>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4" t="s">
        <v>1840</v>
      </c>
      <c r="B112" s="376" t="s">
        <v>464</v>
      </c>
      <c r="C112" s="405">
        <f>ROUND(C108*D112,0)</f>
        <v>0</v>
      </c>
      <c r="D112" s="406">
        <v>0.2</v>
      </c>
      <c r="E112" s="3327" t="s">
        <v>2449</v>
      </c>
      <c r="F112" s="3325"/>
      <c r="G112" s="3325"/>
      <c r="H112" s="3326"/>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2" t="s">
        <v>1834</v>
      </c>
      <c r="B113" s="382" t="s">
        <v>450</v>
      </c>
      <c r="C113" s="385">
        <f ca="1">ROUND(C103-C104,0)</f>
        <v>1876</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2" t="s">
        <v>1835</v>
      </c>
      <c r="B114" s="382" t="s">
        <v>451</v>
      </c>
      <c r="C114" s="407">
        <f ca="1">IF(C113&lt;=0,0,C113/C104)</f>
        <v>0.19442228300449144</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3" t="s">
        <v>1836</v>
      </c>
      <c r="B115" s="387" t="s">
        <v>452</v>
      </c>
      <c r="C115" s="408">
        <f ca="1">ROUND(IF(C113&lt;=0,0,IF(C114&gt;=200%,C113*60%-C104*35%,IF(C114&gt;=100%,C113*50%-C104*15%,IF(C114&gt;=50%,C113*40%-C104*5%,IF(C114&lt;50%,C113*30%,0))))),0)</f>
        <v>563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I117" s="2025">
        <v>124490000</v>
      </c>
      <c r="J117" s="2024"/>
      <c r="K117" s="2025">
        <f>ROUND(I117/K118,0)</f>
        <v>702</v>
      </c>
    </row>
    <row r="118" spans="1:26" s="2025" customFormat="1" ht="21.75" customHeight="1">
      <c r="I118" s="2025">
        <v>39390</v>
      </c>
      <c r="J118" s="2024"/>
      <c r="K118" s="2025">
        <f>I118*I119</f>
        <v>177255</v>
      </c>
    </row>
    <row r="119" spans="1:26" s="2025" customFormat="1" ht="21.75" customHeight="1">
      <c r="I119" s="2025">
        <v>4.5</v>
      </c>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C65" sqref="C6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7085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478</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3298</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220</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520</v>
      </c>
      <c r="B6" s="513"/>
      <c r="C6" s="3378" t="s">
        <v>521</v>
      </c>
      <c r="D6" s="3379"/>
      <c r="E6" s="3378" t="s">
        <v>522</v>
      </c>
      <c r="F6" s="3379"/>
      <c r="G6" s="3378" t="s">
        <v>523</v>
      </c>
      <c r="H6" s="3379"/>
      <c r="I6" s="3378" t="s">
        <v>524</v>
      </c>
      <c r="J6" s="3379"/>
      <c r="K6" s="514" t="s">
        <v>525</v>
      </c>
      <c r="L6" s="2117"/>
      <c r="M6" s="2116"/>
      <c r="N6" s="2116"/>
      <c r="O6" s="2118"/>
      <c r="P6" s="3380" t="s">
        <v>526</v>
      </c>
      <c r="Q6" s="3381"/>
      <c r="R6" s="3386" t="s">
        <v>522</v>
      </c>
      <c r="S6" s="3387"/>
      <c r="T6" s="3386" t="s">
        <v>523</v>
      </c>
      <c r="U6" s="3387"/>
      <c r="V6" s="3373" t="s">
        <v>524</v>
      </c>
      <c r="W6" s="3373"/>
      <c r="X6" s="1553"/>
      <c r="Y6" s="3386" t="s">
        <v>526</v>
      </c>
      <c r="Z6" s="3387"/>
      <c r="AA6" s="3375" t="s">
        <v>522</v>
      </c>
      <c r="AB6" s="3376" t="s">
        <v>523</v>
      </c>
      <c r="AC6" s="3375" t="s">
        <v>524</v>
      </c>
    </row>
    <row r="7" spans="1:30" ht="42" customHeight="1">
      <c r="A7" s="515"/>
      <c r="B7" s="516"/>
      <c r="C7" s="3394" t="s">
        <v>2923</v>
      </c>
      <c r="D7" s="3395"/>
      <c r="E7" s="3394" t="str">
        <f>Sheet1!A12</f>
        <v>太白湖新区运河路以东、老运河以西、古桥西路以北</v>
      </c>
      <c r="F7" s="3395"/>
      <c r="G7" s="3394" t="str">
        <f>Sheet1!A17</f>
        <v>济宁高新区创业公寓以西,群英路以南</v>
      </c>
      <c r="H7" s="3395"/>
      <c r="I7" s="3394" t="str">
        <f>Sheet1!A21</f>
        <v>廖河路以西、嘉达路以南</v>
      </c>
      <c r="J7" s="3395"/>
      <c r="K7" s="514"/>
      <c r="L7" s="2117"/>
      <c r="M7" s="2116"/>
      <c r="N7" s="2116"/>
      <c r="O7" s="2118"/>
      <c r="P7" s="3382"/>
      <c r="Q7" s="3383"/>
      <c r="R7" s="3388"/>
      <c r="S7" s="3389"/>
      <c r="T7" s="3388"/>
      <c r="U7" s="3389"/>
      <c r="V7" s="3373"/>
      <c r="W7" s="3373"/>
      <c r="X7" s="1553"/>
      <c r="Y7" s="3388"/>
      <c r="Z7" s="3389"/>
      <c r="AA7" s="3376"/>
      <c r="AB7" s="3376"/>
      <c r="AC7" s="3376"/>
    </row>
    <row r="8" spans="1:30" ht="21" thickBot="1">
      <c r="A8" s="515"/>
      <c r="B8" s="516"/>
      <c r="C8" s="3396" t="s">
        <v>2927</v>
      </c>
      <c r="D8" s="3397"/>
      <c r="E8" s="3398" t="s">
        <v>3138</v>
      </c>
      <c r="F8" s="3397"/>
      <c r="G8" s="3392" t="s">
        <v>3110</v>
      </c>
      <c r="H8" s="3393"/>
      <c r="I8" s="3392" t="s">
        <v>3110</v>
      </c>
      <c r="J8" s="3393"/>
      <c r="K8" s="514" t="s">
        <v>527</v>
      </c>
      <c r="L8" s="2117"/>
      <c r="M8" s="2116"/>
      <c r="N8" s="2116"/>
      <c r="O8" s="2118"/>
      <c r="P8" s="3384"/>
      <c r="Q8" s="3385"/>
      <c r="R8" s="3388"/>
      <c r="S8" s="3389"/>
      <c r="T8" s="3390"/>
      <c r="U8" s="3391"/>
      <c r="V8" s="3373"/>
      <c r="W8" s="3373"/>
      <c r="X8" s="1553"/>
      <c r="Y8" s="3390"/>
      <c r="Z8" s="3391"/>
      <c r="AA8" s="3377"/>
      <c r="AB8" s="3377"/>
      <c r="AC8" s="3377"/>
    </row>
    <row r="9" spans="1:30" s="1216" customFormat="1" ht="21" thickBot="1">
      <c r="A9" s="2866"/>
      <c r="B9" s="2873" t="s">
        <v>528</v>
      </c>
      <c r="C9" s="2865">
        <f>'数据-取费表'!B2</f>
        <v>43651</v>
      </c>
      <c r="D9" s="520">
        <v>100</v>
      </c>
      <c r="E9" s="521" t="str">
        <f>Sheet1!H12</f>
        <v>2019-05-22</v>
      </c>
      <c r="F9" s="522">
        <f>SUMIF(72:72,YEAR(E9)&amp;"-"&amp;INT((MONTH(E9)+2)/3),73:73)</f>
        <v>99.5</v>
      </c>
      <c r="G9" s="523" t="str">
        <f>Sheet1!H17</f>
        <v>2018-11-14</v>
      </c>
      <c r="H9" s="520">
        <f>SUMIF(72:72,YEAR(G9)&amp;"-"&amp;INT((MONTH(G9)+2)/3),73:73)</f>
        <v>98.5</v>
      </c>
      <c r="I9" s="523" t="str">
        <f>Sheet1!H21</f>
        <v>2018-07-06</v>
      </c>
      <c r="J9" s="520">
        <f>SUMIF(72:72,YEAR(I9)&amp;"-"&amp;INT((MONTH(I9)+2)/3),73:73)</f>
        <v>98</v>
      </c>
      <c r="K9" s="524"/>
      <c r="L9" s="2119"/>
      <c r="M9" s="2116"/>
      <c r="N9" s="2116"/>
      <c r="O9" s="2120"/>
      <c r="P9" s="3404" t="s">
        <v>529</v>
      </c>
      <c r="Q9" s="3406"/>
      <c r="R9" s="1554" t="s">
        <v>8</v>
      </c>
      <c r="S9" s="1555">
        <f t="shared" ref="S9:S17" si="0">F9</f>
        <v>99.5</v>
      </c>
      <c r="T9" s="1554" t="s">
        <v>8</v>
      </c>
      <c r="U9" s="1555">
        <f t="shared" ref="U9:U17" si="1">H9</f>
        <v>98.5</v>
      </c>
      <c r="V9" s="1554" t="s">
        <v>8</v>
      </c>
      <c r="W9" s="1555">
        <f t="shared" ref="W9:W17" si="2">J9</f>
        <v>98</v>
      </c>
      <c r="X9" s="1556"/>
      <c r="Y9" s="3404" t="s">
        <v>529</v>
      </c>
      <c r="Z9" s="3405"/>
      <c r="AA9" s="1557">
        <f>D9/F9</f>
        <v>1.0050251256281406</v>
      </c>
      <c r="AB9" s="1557">
        <f>D9/H9</f>
        <v>1.015228426395939</v>
      </c>
      <c r="AC9" s="1557">
        <f>D9/J9</f>
        <v>1.0204081632653061</v>
      </c>
    </row>
    <row r="10" spans="1:30" s="1216" customFormat="1" ht="21" thickBot="1">
      <c r="A10" s="2867"/>
      <c r="B10" s="287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19"/>
      <c r="M10" s="2116"/>
      <c r="N10" s="2116"/>
      <c r="O10" s="2120"/>
      <c r="P10" s="3404" t="s">
        <v>532</v>
      </c>
      <c r="Q10" s="3405"/>
      <c r="R10" s="1554" t="s">
        <v>8</v>
      </c>
      <c r="S10" s="1555">
        <f t="shared" si="0"/>
        <v>100</v>
      </c>
      <c r="T10" s="1554" t="s">
        <v>8</v>
      </c>
      <c r="U10" s="1555">
        <f t="shared" si="1"/>
        <v>100</v>
      </c>
      <c r="V10" s="1554" t="s">
        <v>8</v>
      </c>
      <c r="W10" s="1555">
        <f t="shared" si="2"/>
        <v>100</v>
      </c>
      <c r="X10" s="1556"/>
      <c r="Y10" s="3404" t="s">
        <v>532</v>
      </c>
      <c r="Z10" s="3405"/>
      <c r="AA10" s="1557">
        <f t="shared" ref="AA10:AA47" si="3">D10/F10</f>
        <v>1</v>
      </c>
      <c r="AB10" s="1557">
        <f t="shared" ref="AB10:AB47" si="4">D10/H10</f>
        <v>1</v>
      </c>
      <c r="AC10" s="1557">
        <f t="shared" ref="AC10:AC47" si="5">D10/J10</f>
        <v>1</v>
      </c>
    </row>
    <row r="11" spans="1:30" s="1216" customFormat="1" ht="20.25">
      <c r="A11" s="2868"/>
      <c r="B11" s="2875" t="s">
        <v>2751</v>
      </c>
      <c r="C11" s="2862" t="s">
        <v>2990</v>
      </c>
      <c r="D11" s="254">
        <v>100</v>
      </c>
      <c r="E11" s="526" t="s">
        <v>2990</v>
      </c>
      <c r="F11" s="254">
        <f>SUMIF(77:77,E11,78:78)-SUMIF(77:77,C11,78:78)+100</f>
        <v>100</v>
      </c>
      <c r="G11" s="526" t="s">
        <v>2990</v>
      </c>
      <c r="H11" s="254">
        <f>SUMIF(77:77,G11,78:78)-SUMIF(77:77,C11,78:78)+100</f>
        <v>100</v>
      </c>
      <c r="I11" s="526" t="s">
        <v>2990</v>
      </c>
      <c r="J11" s="254">
        <f>SUMIF(77:77,I11,78:78)-SUMIF(77:77,C11,78:78)+100</f>
        <v>100</v>
      </c>
      <c r="K11" s="524"/>
      <c r="L11" s="2119"/>
      <c r="M11" s="2116"/>
      <c r="N11" s="2116"/>
      <c r="O11" s="2121"/>
      <c r="P11" s="3372" t="s">
        <v>534</v>
      </c>
      <c r="Q11" s="1147" t="str">
        <f t="shared" ref="Q11:Q17" si="6">B11</f>
        <v>用途</v>
      </c>
      <c r="R11" s="1554" t="s">
        <v>8</v>
      </c>
      <c r="S11" s="1555">
        <f t="shared" si="0"/>
        <v>100</v>
      </c>
      <c r="T11" s="1554" t="s">
        <v>8</v>
      </c>
      <c r="U11" s="1555">
        <f t="shared" si="1"/>
        <v>100</v>
      </c>
      <c r="V11" s="1554" t="s">
        <v>8</v>
      </c>
      <c r="W11" s="1555">
        <f t="shared" si="2"/>
        <v>100</v>
      </c>
      <c r="X11" s="1556"/>
      <c r="Y11" s="3318" t="s">
        <v>535</v>
      </c>
      <c r="Z11" s="1146" t="str">
        <f t="shared" ref="Z11:Z17" si="7">Q11</f>
        <v>用途</v>
      </c>
      <c r="AA11" s="1557">
        <f t="shared" si="3"/>
        <v>1</v>
      </c>
      <c r="AB11" s="1557">
        <f t="shared" si="4"/>
        <v>1</v>
      </c>
      <c r="AC11" s="1557">
        <f t="shared" si="5"/>
        <v>1</v>
      </c>
    </row>
    <row r="12" spans="1:30" s="1334" customFormat="1" ht="27">
      <c r="A12" s="2869"/>
      <c r="B12" s="2874" t="s">
        <v>2752</v>
      </c>
      <c r="C12" s="910">
        <f>项目基本情况!E19</f>
        <v>37.76</v>
      </c>
      <c r="D12" s="255">
        <v>100</v>
      </c>
      <c r="E12" s="529" t="s">
        <v>3139</v>
      </c>
      <c r="F12" s="255">
        <f>ROUND(100/'数据-取费表'!G16,0)</f>
        <v>102</v>
      </c>
      <c r="G12" s="530" t="s">
        <v>3139</v>
      </c>
      <c r="H12" s="255">
        <f>ROUND(100/'数据-取费表'!G16,0)</f>
        <v>102</v>
      </c>
      <c r="I12" s="530" t="s">
        <v>3111</v>
      </c>
      <c r="J12" s="255">
        <f>ROUND(100/'数据-取费表'!G16,0)</f>
        <v>102</v>
      </c>
      <c r="K12" s="531"/>
      <c r="L12" s="2122"/>
      <c r="M12" s="2116"/>
      <c r="N12" s="2116"/>
      <c r="O12" s="2123"/>
      <c r="P12" s="3372"/>
      <c r="Q12" s="1147" t="str">
        <f t="shared" si="6"/>
        <v>土地使用年限（年）</v>
      </c>
      <c r="R12" s="1554" t="s">
        <v>8</v>
      </c>
      <c r="S12" s="1555">
        <f t="shared" si="0"/>
        <v>102</v>
      </c>
      <c r="T12" s="1554" t="s">
        <v>8</v>
      </c>
      <c r="U12" s="1555">
        <f t="shared" si="1"/>
        <v>102</v>
      </c>
      <c r="V12" s="1554" t="s">
        <v>8</v>
      </c>
      <c r="W12" s="1555">
        <f t="shared" si="2"/>
        <v>102</v>
      </c>
      <c r="X12" s="1556"/>
      <c r="Y12" s="3318"/>
      <c r="Z12" s="1146" t="str">
        <f t="shared" si="7"/>
        <v>土地使用年限（年）</v>
      </c>
      <c r="AA12" s="1557">
        <f t="shared" si="3"/>
        <v>0.98039215686274506</v>
      </c>
      <c r="AB12" s="1557">
        <f t="shared" si="4"/>
        <v>0.98039215686274506</v>
      </c>
      <c r="AC12" s="1557">
        <f t="shared" si="5"/>
        <v>0.98039215686274506</v>
      </c>
    </row>
    <row r="13" spans="1:30" ht="20.25">
      <c r="A13" s="2870"/>
      <c r="B13" s="2874" t="s">
        <v>2753</v>
      </c>
      <c r="C13" s="534">
        <f>'数据-汇总表'!I4</f>
        <v>5.55</v>
      </c>
      <c r="D13" s="255">
        <v>100</v>
      </c>
      <c r="E13" s="533">
        <v>2.5</v>
      </c>
      <c r="F13" s="255">
        <f>LOOKUP(E13,82:82,83:83)-LOOKUP(C13,82:82,83:83)+100</f>
        <v>104</v>
      </c>
      <c r="G13" s="534">
        <v>2</v>
      </c>
      <c r="H13" s="255">
        <f>LOOKUP(G13,82:82,83:83)-LOOKUP(C13,82:82,83:83)+100</f>
        <v>104</v>
      </c>
      <c r="I13" s="533">
        <v>2</v>
      </c>
      <c r="J13" s="255">
        <f>LOOKUP(I13,82:82,83:83)-LOOKUP(C13,82:82,83:83)+100</f>
        <v>104</v>
      </c>
      <c r="K13" s="535">
        <v>2</v>
      </c>
      <c r="L13" s="2124"/>
      <c r="M13" s="2116"/>
      <c r="N13" s="2116"/>
      <c r="O13" s="2125"/>
      <c r="P13" s="3372"/>
      <c r="Q13" s="1147" t="str">
        <f t="shared" si="6"/>
        <v>容积率</v>
      </c>
      <c r="R13" s="1554" t="s">
        <v>8</v>
      </c>
      <c r="S13" s="1555">
        <f t="shared" si="0"/>
        <v>104</v>
      </c>
      <c r="T13" s="1554" t="s">
        <v>8</v>
      </c>
      <c r="U13" s="1555">
        <f t="shared" si="1"/>
        <v>104</v>
      </c>
      <c r="V13" s="1554" t="s">
        <v>8</v>
      </c>
      <c r="W13" s="1555">
        <f t="shared" si="2"/>
        <v>104</v>
      </c>
      <c r="X13" s="1556"/>
      <c r="Y13" s="3318"/>
      <c r="Z13" s="1146" t="str">
        <f t="shared" si="7"/>
        <v>容积率</v>
      </c>
      <c r="AA13" s="1557">
        <f t="shared" si="3"/>
        <v>0.96153846153846156</v>
      </c>
      <c r="AB13" s="1557">
        <f t="shared" si="4"/>
        <v>0.96153846153846156</v>
      </c>
      <c r="AC13" s="1557">
        <f t="shared" si="5"/>
        <v>0.96153846153846156</v>
      </c>
    </row>
    <row r="14" spans="1:30" s="1216" customFormat="1" ht="20.25" hidden="1">
      <c r="A14" s="2867"/>
      <c r="B14" s="2876" t="s">
        <v>2754</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72"/>
      <c r="Q14" s="1147" t="str">
        <f t="shared" si="6"/>
        <v>配建</v>
      </c>
      <c r="R14" s="1554" t="s">
        <v>8</v>
      </c>
      <c r="S14" s="1555">
        <f t="shared" si="0"/>
        <v>100</v>
      </c>
      <c r="T14" s="1554" t="s">
        <v>8</v>
      </c>
      <c r="U14" s="1555">
        <f t="shared" si="1"/>
        <v>100</v>
      </c>
      <c r="V14" s="1554" t="s">
        <v>8</v>
      </c>
      <c r="W14" s="1555">
        <f t="shared" si="2"/>
        <v>100</v>
      </c>
      <c r="X14" s="1556"/>
      <c r="Y14" s="3318"/>
      <c r="Z14" s="1146" t="str">
        <f t="shared" si="7"/>
        <v>配建</v>
      </c>
      <c r="AA14" s="1557">
        <f>D14/F14</f>
        <v>1</v>
      </c>
      <c r="AB14" s="1557">
        <f>D14/H14</f>
        <v>1</v>
      </c>
      <c r="AC14" s="1557">
        <f>D14/J14</f>
        <v>1</v>
      </c>
    </row>
    <row r="15" spans="1:30" ht="20.25">
      <c r="A15" s="2871"/>
      <c r="B15" s="3187" t="s">
        <v>3080</v>
      </c>
      <c r="C15" s="3188" t="s">
        <v>3140</v>
      </c>
      <c r="D15" s="540">
        <v>100</v>
      </c>
      <c r="E15" s="3189" t="s">
        <v>3082</v>
      </c>
      <c r="F15" s="255">
        <f>SUMIF(86:86,E15,87:87)-SUMIF(86:86,C15,87:87)+100</f>
        <v>100</v>
      </c>
      <c r="G15" s="3189" t="s">
        <v>3082</v>
      </c>
      <c r="H15" s="540">
        <f>SUMIF(86:86,G15,87:87)-SUMIF(86:86,C15,87:87)+100</f>
        <v>100</v>
      </c>
      <c r="I15" s="3189" t="s">
        <v>3082</v>
      </c>
      <c r="J15" s="540">
        <f>SUMIF(86:86,I15,87:87)-SUMIF(86:86,C15,87:87)+100</f>
        <v>100</v>
      </c>
      <c r="K15" s="531"/>
      <c r="L15" s="2126"/>
      <c r="M15" s="2116"/>
      <c r="N15" s="2116"/>
      <c r="O15" s="2125"/>
      <c r="P15" s="3372"/>
      <c r="Q15" s="1147" t="str">
        <f t="shared" si="6"/>
        <v>回购</v>
      </c>
      <c r="R15" s="1554" t="s">
        <v>8</v>
      </c>
      <c r="S15" s="1555">
        <f t="shared" si="0"/>
        <v>100</v>
      </c>
      <c r="T15" s="1554" t="s">
        <v>8</v>
      </c>
      <c r="U15" s="1555">
        <f t="shared" si="1"/>
        <v>100</v>
      </c>
      <c r="V15" s="1554" t="s">
        <v>8</v>
      </c>
      <c r="W15" s="1555">
        <f t="shared" si="2"/>
        <v>100</v>
      </c>
      <c r="X15" s="1556"/>
      <c r="Y15" s="3318"/>
      <c r="Z15" s="1146" t="str">
        <f t="shared" si="7"/>
        <v>回购</v>
      </c>
      <c r="AA15" s="1557">
        <f>D15/F15</f>
        <v>1</v>
      </c>
      <c r="AB15" s="1557">
        <f>D15/H15</f>
        <v>1</v>
      </c>
      <c r="AC15" s="1557">
        <f>D15/J15</f>
        <v>1</v>
      </c>
    </row>
    <row r="16" spans="1:30" ht="21"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2"/>
      <c r="Q16" s="1147">
        <f t="shared" si="6"/>
        <v>111</v>
      </c>
      <c r="R16" s="1554" t="s">
        <v>8</v>
      </c>
      <c r="S16" s="1555">
        <f t="shared" si="0"/>
        <v>100</v>
      </c>
      <c r="T16" s="1554" t="s">
        <v>8</v>
      </c>
      <c r="U16" s="1555">
        <f t="shared" si="1"/>
        <v>100</v>
      </c>
      <c r="V16" s="1554" t="s">
        <v>8</v>
      </c>
      <c r="W16" s="1555">
        <f t="shared" si="2"/>
        <v>100</v>
      </c>
      <c r="X16" s="1556"/>
      <c r="Y16" s="3318"/>
      <c r="Z16" s="1146">
        <f t="shared" si="7"/>
        <v>111</v>
      </c>
      <c r="AA16" s="1557">
        <f>D16/F16</f>
        <v>1</v>
      </c>
      <c r="AB16" s="1557">
        <f>D16/H16</f>
        <v>1</v>
      </c>
      <c r="AC16" s="1557">
        <f>D16/J16</f>
        <v>1</v>
      </c>
    </row>
    <row r="17" spans="1:29" ht="99.75" hidden="1">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07" t="s">
        <v>539</v>
      </c>
      <c r="Q17" s="1558" t="str">
        <f t="shared" si="6"/>
        <v>居住社区成熟度</v>
      </c>
      <c r="R17" s="1559" t="s">
        <v>8</v>
      </c>
      <c r="S17" s="1560">
        <f t="shared" si="0"/>
        <v>100</v>
      </c>
      <c r="T17" s="1559" t="s">
        <v>8</v>
      </c>
      <c r="U17" s="1560">
        <f t="shared" si="1"/>
        <v>100</v>
      </c>
      <c r="V17" s="1559" t="s">
        <v>8</v>
      </c>
      <c r="W17" s="1560">
        <f t="shared" si="2"/>
        <v>100</v>
      </c>
      <c r="X17" s="1553"/>
      <c r="Y17" s="3407" t="s">
        <v>539</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6"/>
      <c r="M18" s="2116"/>
      <c r="N18" s="2116"/>
      <c r="O18" s="2125"/>
      <c r="P18" s="3408"/>
      <c r="Q18" s="1558"/>
      <c r="R18" s="1559"/>
      <c r="S18" s="1560"/>
      <c r="T18" s="1559"/>
      <c r="U18" s="1560"/>
      <c r="V18" s="1559"/>
      <c r="W18" s="1560"/>
      <c r="X18" s="1553"/>
      <c r="Y18" s="3408"/>
      <c r="Z18" s="1561"/>
      <c r="AA18" s="1562">
        <v>1</v>
      </c>
      <c r="AB18" s="1562">
        <v>1</v>
      </c>
      <c r="AC18" s="156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1</v>
      </c>
      <c r="L19" s="2126"/>
      <c r="M19" s="2116"/>
      <c r="N19" s="2116"/>
      <c r="O19" s="2125"/>
      <c r="P19" s="3408"/>
      <c r="Q19" s="1558" t="str">
        <f>B19</f>
        <v>商业繁华度</v>
      </c>
      <c r="R19" s="1559" t="s">
        <v>8</v>
      </c>
      <c r="S19" s="1560">
        <f>F19</f>
        <v>100</v>
      </c>
      <c r="T19" s="1559" t="s">
        <v>8</v>
      </c>
      <c r="U19" s="1560">
        <f>H19</f>
        <v>100</v>
      </c>
      <c r="V19" s="1559" t="s">
        <v>8</v>
      </c>
      <c r="W19" s="1560">
        <f>J19</f>
        <v>100</v>
      </c>
      <c r="X19" s="1553"/>
      <c r="Y19" s="3408"/>
      <c r="Z19" s="1561" t="str">
        <f>Q19</f>
        <v>商业繁华度</v>
      </c>
      <c r="AA19" s="1562">
        <f t="shared" si="3"/>
        <v>1</v>
      </c>
      <c r="AB19" s="1562">
        <f t="shared" si="4"/>
        <v>1</v>
      </c>
      <c r="AC19" s="1562">
        <f t="shared" si="5"/>
        <v>1</v>
      </c>
    </row>
    <row r="20" spans="1:29" ht="20.25">
      <c r="A20" s="532"/>
      <c r="B20" s="566"/>
      <c r="C20" s="567" t="s">
        <v>3112</v>
      </c>
      <c r="D20" s="563"/>
      <c r="E20" s="569" t="s">
        <v>3112</v>
      </c>
      <c r="F20" s="559"/>
      <c r="G20" s="568" t="s">
        <v>3112</v>
      </c>
      <c r="H20" s="555"/>
      <c r="I20" s="569" t="s">
        <v>3112</v>
      </c>
      <c r="J20" s="555"/>
      <c r="K20" s="531"/>
      <c r="L20" s="2126"/>
      <c r="M20" s="2116"/>
      <c r="N20" s="2116"/>
      <c r="O20" s="2125"/>
      <c r="P20" s="3408"/>
      <c r="Q20" s="1558"/>
      <c r="R20" s="1559"/>
      <c r="S20" s="1560"/>
      <c r="T20" s="1559"/>
      <c r="U20" s="1560"/>
      <c r="V20" s="1559"/>
      <c r="W20" s="1560"/>
      <c r="X20" s="1553"/>
      <c r="Y20" s="3408"/>
      <c r="Z20" s="1561"/>
      <c r="AA20" s="1562">
        <v>1</v>
      </c>
      <c r="AB20" s="1562">
        <v>1</v>
      </c>
      <c r="AC20" s="156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6"/>
      <c r="M21" s="2116"/>
      <c r="N21" s="2116"/>
      <c r="O21" s="2125"/>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0.25">
      <c r="A22" s="532"/>
      <c r="B22" s="566"/>
      <c r="C22" s="558" t="s">
        <v>3112</v>
      </c>
      <c r="D22" s="557"/>
      <c r="E22" s="558" t="s">
        <v>3112</v>
      </c>
      <c r="F22" s="555"/>
      <c r="G22" s="558" t="s">
        <v>3112</v>
      </c>
      <c r="H22" s="555"/>
      <c r="I22" s="558" t="s">
        <v>3112</v>
      </c>
      <c r="J22" s="555"/>
      <c r="K22" s="531"/>
      <c r="L22" s="2126"/>
      <c r="M22" s="2116"/>
      <c r="N22" s="2116"/>
      <c r="O22" s="2125"/>
      <c r="P22" s="3408"/>
      <c r="Q22" s="1558"/>
      <c r="R22" s="1559"/>
      <c r="S22" s="1560"/>
      <c r="T22" s="1559"/>
      <c r="U22" s="1560"/>
      <c r="V22" s="1559"/>
      <c r="W22" s="1560"/>
      <c r="X22" s="1553"/>
      <c r="Y22" s="3408"/>
      <c r="Z22" s="1561"/>
      <c r="AA22" s="1562">
        <v>1</v>
      </c>
      <c r="AB22" s="1562">
        <v>1</v>
      </c>
      <c r="AC22" s="1562">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1</v>
      </c>
      <c r="L23" s="2126"/>
      <c r="M23" s="2116"/>
      <c r="N23" s="2116"/>
      <c r="O23" s="2125"/>
      <c r="P23" s="3408"/>
      <c r="Q23" s="1558" t="str">
        <f>B23</f>
        <v>交通便捷度</v>
      </c>
      <c r="R23" s="1559" t="s">
        <v>8</v>
      </c>
      <c r="S23" s="1560">
        <f>F23</f>
        <v>100</v>
      </c>
      <c r="T23" s="1559" t="s">
        <v>8</v>
      </c>
      <c r="U23" s="1560">
        <f>H23</f>
        <v>100</v>
      </c>
      <c r="V23" s="1559" t="s">
        <v>8</v>
      </c>
      <c r="W23" s="1560">
        <f>J23</f>
        <v>100</v>
      </c>
      <c r="X23" s="1553"/>
      <c r="Y23" s="3408"/>
      <c r="Z23" s="1561" t="str">
        <f>Q23</f>
        <v>交通便捷度</v>
      </c>
      <c r="AA23" s="1562">
        <f t="shared" si="3"/>
        <v>1</v>
      </c>
      <c r="AB23" s="1562">
        <f t="shared" si="4"/>
        <v>1</v>
      </c>
      <c r="AC23" s="1562">
        <f t="shared" si="5"/>
        <v>1</v>
      </c>
    </row>
    <row r="24" spans="1:29" ht="20.25">
      <c r="A24" s="532"/>
      <c r="B24" s="578"/>
      <c r="C24" s="558" t="s">
        <v>3112</v>
      </c>
      <c r="D24" s="557"/>
      <c r="E24" s="558" t="s">
        <v>3112</v>
      </c>
      <c r="F24" s="555"/>
      <c r="G24" s="558" t="s">
        <v>3112</v>
      </c>
      <c r="H24" s="555"/>
      <c r="I24" s="558" t="s">
        <v>3112</v>
      </c>
      <c r="J24" s="555"/>
      <c r="K24" s="531"/>
      <c r="L24" s="2126"/>
      <c r="M24" s="2116"/>
      <c r="N24" s="2116"/>
      <c r="O24" s="2125"/>
      <c r="P24" s="3408"/>
      <c r="Q24" s="1558"/>
      <c r="R24" s="1559"/>
      <c r="S24" s="1560"/>
      <c r="T24" s="1559"/>
      <c r="U24" s="1560"/>
      <c r="V24" s="1559"/>
      <c r="W24" s="1560"/>
      <c r="X24" s="1553"/>
      <c r="Y24" s="3408"/>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0.25">
      <c r="A26" s="515"/>
      <c r="B26" s="1007"/>
      <c r="C26" s="558" t="s">
        <v>3112</v>
      </c>
      <c r="D26" s="557"/>
      <c r="E26" s="558" t="s">
        <v>3112</v>
      </c>
      <c r="F26" s="555"/>
      <c r="G26" s="558" t="s">
        <v>3112</v>
      </c>
      <c r="H26" s="555"/>
      <c r="I26" s="558" t="s">
        <v>3112</v>
      </c>
      <c r="J26" s="555"/>
      <c r="K26" s="531"/>
      <c r="L26" s="2126"/>
      <c r="M26" s="2116"/>
      <c r="N26" s="2116"/>
      <c r="O26" s="2125"/>
      <c r="P26" s="3408"/>
      <c r="Q26" s="1558"/>
      <c r="R26" s="1559"/>
      <c r="S26" s="1560"/>
      <c r="T26" s="1559"/>
      <c r="U26" s="1560"/>
      <c r="V26" s="1559"/>
      <c r="W26" s="1560"/>
      <c r="X26" s="1553"/>
      <c r="Y26" s="3408"/>
      <c r="Z26" s="1561"/>
      <c r="AA26" s="1562"/>
      <c r="AB26" s="1562"/>
      <c r="AC26" s="156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6"/>
      <c r="M27" s="2116"/>
      <c r="N27" s="2116"/>
      <c r="O27" s="2125"/>
      <c r="P27" s="3408"/>
      <c r="Q27" s="1558" t="str">
        <f t="shared" si="8"/>
        <v>自然及人文环境状况</v>
      </c>
      <c r="R27" s="1559" t="s">
        <v>8</v>
      </c>
      <c r="S27" s="1560">
        <f>F27</f>
        <v>100</v>
      </c>
      <c r="T27" s="1559" t="s">
        <v>8</v>
      </c>
      <c r="U27" s="1560">
        <f>H27</f>
        <v>100</v>
      </c>
      <c r="V27" s="1559" t="s">
        <v>8</v>
      </c>
      <c r="W27" s="1560">
        <f>J27</f>
        <v>100</v>
      </c>
      <c r="X27" s="1553"/>
      <c r="Y27" s="3408"/>
      <c r="Z27" s="1561" t="str">
        <f>Q27</f>
        <v>自然及人文环境状况</v>
      </c>
      <c r="AA27" s="1562">
        <f t="shared" si="3"/>
        <v>1</v>
      </c>
      <c r="AB27" s="1562">
        <f t="shared" si="4"/>
        <v>1</v>
      </c>
      <c r="AC27" s="1562">
        <f t="shared" si="5"/>
        <v>1</v>
      </c>
    </row>
    <row r="28" spans="1:29" ht="20.25">
      <c r="A28" s="515"/>
      <c r="B28" s="566"/>
      <c r="C28" s="576" t="s">
        <v>3112</v>
      </c>
      <c r="D28" s="557"/>
      <c r="E28" s="576" t="s">
        <v>3112</v>
      </c>
      <c r="F28" s="555"/>
      <c r="G28" s="576" t="s">
        <v>3112</v>
      </c>
      <c r="H28" s="555"/>
      <c r="I28" s="576" t="s">
        <v>3112</v>
      </c>
      <c r="J28" s="555"/>
      <c r="K28" s="531"/>
      <c r="L28" s="2126"/>
      <c r="M28" s="2116"/>
      <c r="N28" s="2116"/>
      <c r="O28" s="2125"/>
      <c r="P28" s="3408"/>
      <c r="Q28" s="1558"/>
      <c r="R28" s="1559"/>
      <c r="S28" s="1560"/>
      <c r="T28" s="1559"/>
      <c r="U28" s="1560"/>
      <c r="V28" s="1559"/>
      <c r="W28" s="1560"/>
      <c r="X28" s="1553"/>
      <c r="Y28" s="3408"/>
      <c r="Z28" s="1561"/>
      <c r="AA28" s="1562">
        <v>1</v>
      </c>
      <c r="AB28" s="1562">
        <v>1</v>
      </c>
      <c r="AC28" s="1562">
        <v>1</v>
      </c>
    </row>
    <row r="29" spans="1:29" s="1216"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99</v>
      </c>
      <c r="I29" s="564"/>
      <c r="J29" s="559">
        <f>SUMIF(102:102,I30,103:103)-SUMIF(102:102,C30,103:103)+100</f>
        <v>99</v>
      </c>
      <c r="K29" s="535">
        <v>1</v>
      </c>
      <c r="L29" s="2119"/>
      <c r="M29" s="2116"/>
      <c r="N29" s="2116"/>
      <c r="O29" s="2121"/>
      <c r="P29" s="3408"/>
      <c r="Q29" s="1147" t="str">
        <f t="shared" si="8"/>
        <v>公共配套设施</v>
      </c>
      <c r="R29" s="1554" t="s">
        <v>8</v>
      </c>
      <c r="S29" s="1555">
        <f>F29</f>
        <v>100</v>
      </c>
      <c r="T29" s="1554" t="s">
        <v>8</v>
      </c>
      <c r="U29" s="1555">
        <f>H29</f>
        <v>99</v>
      </c>
      <c r="V29" s="1554" t="s">
        <v>8</v>
      </c>
      <c r="W29" s="1555">
        <f>J29</f>
        <v>99</v>
      </c>
      <c r="X29" s="1556"/>
      <c r="Y29" s="3408"/>
      <c r="Z29" s="1146" t="str">
        <f>Q29</f>
        <v>公共配套设施</v>
      </c>
      <c r="AA29" s="1562">
        <f>D29/F29</f>
        <v>1</v>
      </c>
      <c r="AB29" s="1562">
        <f>D29/H29</f>
        <v>1.0101010101010102</v>
      </c>
      <c r="AC29" s="1562">
        <f>D29/J29</f>
        <v>1.0101010101010102</v>
      </c>
    </row>
    <row r="30" spans="1:29" s="1216" customFormat="1" ht="20.25">
      <c r="A30" s="577"/>
      <c r="B30" s="566"/>
      <c r="C30" s="579" t="s">
        <v>3112</v>
      </c>
      <c r="D30" s="557"/>
      <c r="E30" s="576" t="s">
        <v>3112</v>
      </c>
      <c r="F30" s="555"/>
      <c r="G30" s="576" t="s">
        <v>3113</v>
      </c>
      <c r="H30" s="555"/>
      <c r="I30" s="576" t="s">
        <v>3113</v>
      </c>
      <c r="J30" s="555"/>
      <c r="K30" s="531"/>
      <c r="L30" s="2119"/>
      <c r="M30" s="2116"/>
      <c r="N30" s="2116"/>
      <c r="O30" s="2121"/>
      <c r="P30" s="3408"/>
      <c r="Q30" s="1147"/>
      <c r="R30" s="1554"/>
      <c r="S30" s="1555"/>
      <c r="T30" s="1554"/>
      <c r="U30" s="1555"/>
      <c r="V30" s="1554"/>
      <c r="W30" s="1555"/>
      <c r="X30" s="1556"/>
      <c r="Y30" s="3408"/>
      <c r="Z30" s="1146"/>
      <c r="AA30" s="1562">
        <v>1</v>
      </c>
      <c r="AB30" s="1562">
        <v>1</v>
      </c>
      <c r="AC30" s="1562">
        <v>1</v>
      </c>
    </row>
    <row r="31" spans="1:29" s="1216"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8"/>
      <c r="Q31" s="2541" t="str">
        <f t="shared" ref="Q31" si="9">B31</f>
        <v>基础设施水平</v>
      </c>
      <c r="R31" s="1554" t="s">
        <v>8</v>
      </c>
      <c r="S31" s="1555">
        <f>F31</f>
        <v>100</v>
      </c>
      <c r="T31" s="1554" t="s">
        <v>8</v>
      </c>
      <c r="U31" s="1555">
        <f>H31</f>
        <v>100</v>
      </c>
      <c r="V31" s="1554" t="s">
        <v>8</v>
      </c>
      <c r="W31" s="1555">
        <f>J31</f>
        <v>100</v>
      </c>
      <c r="X31" s="1556"/>
      <c r="Y31" s="3408"/>
      <c r="Z31" s="2538" t="str">
        <f>Q31</f>
        <v>基础设施水平</v>
      </c>
      <c r="AA31" s="1562">
        <f>D31/F31</f>
        <v>1</v>
      </c>
      <c r="AB31" s="1562">
        <f>D31/H31</f>
        <v>1</v>
      </c>
      <c r="AC31" s="1562">
        <f>D31/J31</f>
        <v>1</v>
      </c>
    </row>
    <row r="32" spans="1:29" s="1216" customFormat="1" ht="20.25">
      <c r="A32" s="577"/>
      <c r="B32" s="566"/>
      <c r="C32" s="579" t="s">
        <v>3114</v>
      </c>
      <c r="D32" s="557"/>
      <c r="E32" s="579" t="s">
        <v>3114</v>
      </c>
      <c r="F32" s="555"/>
      <c r="G32" s="579" t="s">
        <v>3114</v>
      </c>
      <c r="H32" s="555"/>
      <c r="I32" s="579" t="s">
        <v>3114</v>
      </c>
      <c r="J32" s="555"/>
      <c r="K32" s="531"/>
      <c r="L32" s="2119"/>
      <c r="M32" s="2116"/>
      <c r="N32" s="2116"/>
      <c r="O32" s="2121"/>
      <c r="P32" s="3408"/>
      <c r="Q32" s="2541"/>
      <c r="R32" s="1554"/>
      <c r="S32" s="1555"/>
      <c r="T32" s="1554"/>
      <c r="U32" s="1555"/>
      <c r="V32" s="1554"/>
      <c r="W32" s="1555"/>
      <c r="X32" s="1556"/>
      <c r="Y32" s="3408"/>
      <c r="Z32" s="2538"/>
      <c r="AA32" s="1562">
        <v>1</v>
      </c>
      <c r="AB32" s="1562">
        <v>1</v>
      </c>
      <c r="AC32" s="1562">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1" thickBot="1">
      <c r="A35" s="532"/>
      <c r="B35" s="566"/>
      <c r="C35" s="554" t="s">
        <v>3118</v>
      </c>
      <c r="D35" s="557"/>
      <c r="E35" s="576" t="s">
        <v>3118</v>
      </c>
      <c r="F35" s="555"/>
      <c r="G35" s="554" t="s">
        <v>3118</v>
      </c>
      <c r="H35" s="555"/>
      <c r="I35" s="554" t="s">
        <v>3118</v>
      </c>
      <c r="J35" s="555"/>
      <c r="K35" s="581"/>
      <c r="L35" s="2126"/>
      <c r="M35" s="2116"/>
      <c r="N35" s="2116"/>
      <c r="O35" s="2125"/>
      <c r="P35" s="3408"/>
      <c r="Q35" s="1558"/>
      <c r="R35" s="1559"/>
      <c r="S35" s="1560"/>
      <c r="T35" s="1559"/>
      <c r="U35" s="1560"/>
      <c r="V35" s="1559"/>
      <c r="W35" s="1560"/>
      <c r="X35" s="1553"/>
      <c r="Y35" s="3408"/>
      <c r="Z35" s="1561"/>
      <c r="AA35" s="1562">
        <v>1</v>
      </c>
      <c r="AB35" s="1562">
        <v>1</v>
      </c>
      <c r="AC35" s="1562">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9" t="s">
        <v>549</v>
      </c>
      <c r="Q38" s="1558">
        <f t="shared" si="8"/>
        <v>111</v>
      </c>
      <c r="R38" s="1559" t="s">
        <v>8</v>
      </c>
      <c r="S38" s="1560">
        <f t="shared" si="10"/>
        <v>100</v>
      </c>
      <c r="T38" s="1559" t="s">
        <v>8</v>
      </c>
      <c r="U38" s="1560">
        <f t="shared" si="11"/>
        <v>100</v>
      </c>
      <c r="V38" s="1559" t="s">
        <v>8</v>
      </c>
      <c r="W38" s="1560">
        <f t="shared" si="12"/>
        <v>100</v>
      </c>
      <c r="X38" s="1553"/>
      <c r="Y38" s="3410" t="s">
        <v>549</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0.25">
      <c r="A40" s="2861" t="s">
        <v>2750</v>
      </c>
      <c r="B40" s="595" t="s">
        <v>551</v>
      </c>
      <c r="C40" s="596">
        <f>项目基本情况!C22</f>
        <v>21485</v>
      </c>
      <c r="D40" s="597">
        <v>100</v>
      </c>
      <c r="E40" s="596">
        <f>Sheet1!D12</f>
        <v>62543</v>
      </c>
      <c r="F40" s="597">
        <f>LOOKUP(E40,119:119,120:120)-LOOKUP(C40,119:119,120:120)+100</f>
        <v>102</v>
      </c>
      <c r="G40" s="596">
        <f>Sheet1!D17</f>
        <v>79179</v>
      </c>
      <c r="H40" s="597">
        <f>LOOKUP(G40,119:119,120:120)-LOOKUP(C40,119:119,120:120)+100</f>
        <v>102</v>
      </c>
      <c r="I40" s="598">
        <f>Sheet1!D21</f>
        <v>17722</v>
      </c>
      <c r="J40" s="597">
        <f>LOOKUP(I40,119:119,120:120)-LOOKUP(C40,119:119,120:120)+100</f>
        <v>100</v>
      </c>
      <c r="K40" s="581"/>
      <c r="L40" s="2126"/>
      <c r="M40" s="2116"/>
      <c r="N40" s="2116"/>
      <c r="O40" s="2125"/>
      <c r="P40" s="3410"/>
      <c r="Q40" s="1558" t="str">
        <f>B40</f>
        <v>宗地面积</v>
      </c>
      <c r="R40" s="1559" t="s">
        <v>8</v>
      </c>
      <c r="S40" s="1560">
        <f t="shared" si="10"/>
        <v>102</v>
      </c>
      <c r="T40" s="1559" t="s">
        <v>8</v>
      </c>
      <c r="U40" s="1560">
        <f t="shared" si="11"/>
        <v>102</v>
      </c>
      <c r="V40" s="1559" t="s">
        <v>8</v>
      </c>
      <c r="W40" s="1560">
        <f t="shared" si="12"/>
        <v>100</v>
      </c>
      <c r="X40" s="1553"/>
      <c r="Y40" s="3410"/>
      <c r="Z40" s="1561" t="str">
        <f t="shared" si="13"/>
        <v>宗地面积</v>
      </c>
      <c r="AA40" s="1562">
        <f t="shared" si="3"/>
        <v>0.98039215686274506</v>
      </c>
      <c r="AB40" s="1562">
        <f t="shared" si="4"/>
        <v>0.98039215686274506</v>
      </c>
      <c r="AC40" s="1562">
        <f t="shared" si="5"/>
        <v>1</v>
      </c>
    </row>
    <row r="41" spans="1:29" ht="20.25">
      <c r="A41" s="594"/>
      <c r="B41" s="527" t="s">
        <v>552</v>
      </c>
      <c r="C41" s="599" t="s">
        <v>3122</v>
      </c>
      <c r="D41" s="540">
        <v>100</v>
      </c>
      <c r="E41" s="599" t="s">
        <v>3122</v>
      </c>
      <c r="F41" s="540">
        <f>SUMIF(121:121,E41,122:122)-SUMIF(121:121,C41,122:122)+100</f>
        <v>100</v>
      </c>
      <c r="G41" s="599" t="s">
        <v>3122</v>
      </c>
      <c r="H41" s="540">
        <f>SUMIF(121:121,G41,122:122)-SUMIF(121:121,C41,122:122)+100</f>
        <v>100</v>
      </c>
      <c r="I41" s="599" t="s">
        <v>3122</v>
      </c>
      <c r="J41" s="540">
        <f>SUMIF(121:121,I41,122:122)-SUMIF(121:121,C41,122:122)+100</f>
        <v>100</v>
      </c>
      <c r="K41" s="584">
        <v>1</v>
      </c>
      <c r="L41" s="2126"/>
      <c r="M41" s="2116"/>
      <c r="N41" s="2116"/>
      <c r="O41" s="2125"/>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0.25">
      <c r="A42" s="594"/>
      <c r="B42" s="527" t="s">
        <v>553</v>
      </c>
      <c r="C42" s="599" t="s">
        <v>3127</v>
      </c>
      <c r="D42" s="540">
        <v>100</v>
      </c>
      <c r="E42" s="599" t="s">
        <v>3127</v>
      </c>
      <c r="F42" s="540">
        <f>SUMIF(123:123,E42,124:124)-SUMIF(123:123,C42,124:124)+100</f>
        <v>100</v>
      </c>
      <c r="G42" s="599" t="s">
        <v>3127</v>
      </c>
      <c r="H42" s="540">
        <f>SUMIF(123:123,G42,124:124)-SUMIF(123:123,C42,124:124)+100</f>
        <v>100</v>
      </c>
      <c r="I42" s="599" t="s">
        <v>3127</v>
      </c>
      <c r="J42" s="540">
        <f>SUMIF(123:123,I42,124:124)-SUMIF(123:123,C42,124:124)+100</f>
        <v>100</v>
      </c>
      <c r="K42" s="584">
        <v>1</v>
      </c>
      <c r="L42" s="2126"/>
      <c r="M42" s="2116"/>
      <c r="N42" s="2116"/>
      <c r="O42" s="2125"/>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6" customFormat="1" ht="20.25">
      <c r="A43" s="600"/>
      <c r="B43" s="1879" t="s">
        <v>2421</v>
      </c>
      <c r="C43" s="601" t="s">
        <v>3133</v>
      </c>
      <c r="D43" s="255">
        <v>100</v>
      </c>
      <c r="E43" s="601" t="s">
        <v>3133</v>
      </c>
      <c r="F43" s="540">
        <f>SUMIF(125:125,E43,126:126)-SUMIF(125:125,C43,126:126)+100</f>
        <v>100</v>
      </c>
      <c r="G43" s="601" t="s">
        <v>3133</v>
      </c>
      <c r="H43" s="540">
        <f>SUMIF(125:125,G43,126:126)-SUMIF(125:125,C43,126:126)+100</f>
        <v>100</v>
      </c>
      <c r="I43" s="601" t="s">
        <v>3133</v>
      </c>
      <c r="J43" s="540">
        <f>SUMIF(125:125,I43,126:126)-SUMIF(125:125,C43,126:126)+100</f>
        <v>100</v>
      </c>
      <c r="K43" s="584">
        <v>1</v>
      </c>
      <c r="L43" s="2119"/>
      <c r="M43" s="2116"/>
      <c r="N43" s="2116"/>
      <c r="O43" s="2121"/>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6" t="str">
        <f t="shared" si="13"/>
        <v>宗地开发程度</v>
      </c>
      <c r="AA43" s="1557">
        <f t="shared" si="3"/>
        <v>1</v>
      </c>
      <c r="AB43" s="1557">
        <f t="shared" si="4"/>
        <v>1</v>
      </c>
      <c r="AC43" s="1557">
        <f t="shared" si="5"/>
        <v>1</v>
      </c>
    </row>
    <row r="44" spans="1:29" ht="21" thickBot="1">
      <c r="A44" s="594"/>
      <c r="B44" s="527" t="s">
        <v>554</v>
      </c>
      <c r="C44" s="599" t="s">
        <v>3136</v>
      </c>
      <c r="D44" s="540">
        <v>100</v>
      </c>
      <c r="E44" s="599" t="s">
        <v>3136</v>
      </c>
      <c r="F44" s="540">
        <f>SUMIF(127:127,E44,128:128)-SUMIF(127:127,C44,128:128)+100</f>
        <v>100</v>
      </c>
      <c r="G44" s="599" t="s">
        <v>3136</v>
      </c>
      <c r="H44" s="540">
        <f>SUMIF(127:127,G44,128:128)-SUMIF(127:127,C44,128:128)+100</f>
        <v>100</v>
      </c>
      <c r="I44" s="599" t="s">
        <v>3136</v>
      </c>
      <c r="J44" s="540">
        <f>SUMIF(127:127,I44,128:128)-SUMIF(127:127,C44,128:128)+100</f>
        <v>100</v>
      </c>
      <c r="K44" s="584">
        <v>1</v>
      </c>
      <c r="L44" s="2126"/>
      <c r="M44" s="2116"/>
      <c r="N44" s="2116"/>
      <c r="O44" s="2125"/>
      <c r="P44" s="3410" t="s">
        <v>549</v>
      </c>
      <c r="Q44" s="1558" t="str">
        <f t="shared" si="14"/>
        <v>工程地质条件</v>
      </c>
      <c r="R44" s="1559" t="s">
        <v>8</v>
      </c>
      <c r="S44" s="1560">
        <f t="shared" si="10"/>
        <v>100</v>
      </c>
      <c r="T44" s="1559" t="s">
        <v>8</v>
      </c>
      <c r="U44" s="1560">
        <f t="shared" si="11"/>
        <v>100</v>
      </c>
      <c r="V44" s="1559" t="s">
        <v>8</v>
      </c>
      <c r="W44" s="1560">
        <f t="shared" si="12"/>
        <v>100</v>
      </c>
      <c r="X44" s="1553"/>
      <c r="Y44" s="3410" t="s">
        <v>549</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0.25">
      <c r="A48" s="607" t="s">
        <v>555</v>
      </c>
      <c r="B48" s="608" t="s">
        <v>3079</v>
      </c>
      <c r="C48" s="609" t="s">
        <v>1</v>
      </c>
      <c r="D48" s="610"/>
      <c r="E48" s="611">
        <f>ROUND(Sheet1!K12,0)</f>
        <v>1180</v>
      </c>
      <c r="F48" s="612"/>
      <c r="G48" s="613">
        <f>ROUND(Sheet1!K17,0)</f>
        <v>1355</v>
      </c>
      <c r="H48" s="614"/>
      <c r="I48" s="611">
        <f>ROUND(Sheet1!K21,0)</f>
        <v>1350</v>
      </c>
      <c r="J48" s="614"/>
      <c r="K48" s="1336"/>
      <c r="L48" s="2128"/>
      <c r="M48" s="2116"/>
      <c r="N48" s="2116"/>
      <c r="O48" s="2129"/>
      <c r="P48" s="3372" t="str">
        <f>A48</f>
        <v>成交单价</v>
      </c>
      <c r="Q48" s="3372"/>
      <c r="R48" s="3373">
        <f>E48</f>
        <v>1180</v>
      </c>
      <c r="S48" s="3373"/>
      <c r="T48" s="3373">
        <f>G48</f>
        <v>1355</v>
      </c>
      <c r="U48" s="3373"/>
      <c r="V48" s="3373">
        <f>I48</f>
        <v>1350</v>
      </c>
      <c r="W48" s="3373"/>
      <c r="X48" s="1545"/>
      <c r="Y48" s="1567"/>
      <c r="Z48" s="1545"/>
      <c r="AA48" s="1545"/>
      <c r="AB48" s="1545"/>
      <c r="AC48" s="1545"/>
    </row>
    <row r="49" spans="1:29" ht="21" thickBot="1">
      <c r="A49" s="615" t="s">
        <v>2688</v>
      </c>
      <c r="B49" s="616"/>
      <c r="C49" s="617">
        <f>R50</f>
        <v>1231</v>
      </c>
      <c r="D49" s="618"/>
      <c r="E49" s="617">
        <f>R49</f>
        <v>1096</v>
      </c>
      <c r="F49" s="619"/>
      <c r="G49" s="620">
        <f>T49</f>
        <v>1284</v>
      </c>
      <c r="H49" s="618"/>
      <c r="I49" s="617">
        <f>V49</f>
        <v>1312</v>
      </c>
      <c r="J49" s="618"/>
      <c r="K49" s="1337"/>
      <c r="L49" s="2128"/>
      <c r="M49" s="2116"/>
      <c r="N49" s="2116"/>
      <c r="O49" s="2129"/>
      <c r="P49" s="3372" t="str">
        <f>A49</f>
        <v>比较价格（元/平方米）</v>
      </c>
      <c r="Q49" s="3372"/>
      <c r="R49" s="3374">
        <f>ROUND(PRODUCT(R48,AA9:AA47),0)</f>
        <v>1096</v>
      </c>
      <c r="S49" s="3374"/>
      <c r="T49" s="3374">
        <f>ROUND(PRODUCT(T48,AB9:AB47),0)</f>
        <v>1284</v>
      </c>
      <c r="U49" s="3374"/>
      <c r="V49" s="3374">
        <f>ROUND(PRODUCT(V48,AC9:AC47),0)</f>
        <v>1312</v>
      </c>
      <c r="W49" s="3374"/>
      <c r="X49" s="1545"/>
      <c r="Y49" s="1545"/>
      <c r="Z49" s="1545"/>
      <c r="AA49" s="1545"/>
      <c r="AB49" s="1545"/>
      <c r="AC49" s="1545"/>
    </row>
    <row r="50" spans="1:29" ht="21" thickBot="1">
      <c r="A50" s="621" t="s">
        <v>2929</v>
      </c>
      <c r="B50" s="622"/>
      <c r="C50" s="623">
        <f>R50</f>
        <v>1231</v>
      </c>
      <c r="D50" s="623"/>
      <c r="E50" s="623"/>
      <c r="F50" s="623"/>
      <c r="G50" s="623"/>
      <c r="H50" s="623"/>
      <c r="I50" s="623"/>
      <c r="J50" s="623"/>
      <c r="K50" s="1338"/>
      <c r="L50" s="2128"/>
      <c r="M50" s="2116"/>
      <c r="N50" s="2116"/>
      <c r="O50" s="2129"/>
      <c r="P50" s="3369" t="str">
        <f>A50</f>
        <v>估价对象XX用房的比较价格（楼面单价，元/平方米）</v>
      </c>
      <c r="Q50" s="3370"/>
      <c r="R50" s="3371">
        <f>ROUND(AVERAGE(R49:V49),0)</f>
        <v>1231</v>
      </c>
      <c r="S50" s="3371"/>
      <c r="T50" s="3371"/>
      <c r="U50" s="3371"/>
      <c r="V50" s="3371"/>
      <c r="W50" s="3371"/>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7.6642335766423431E-2</v>
      </c>
      <c r="F53" s="627" t="str">
        <f>IF(OR(E53&gt;=0.3,E53&lt;=-0.3),"超过30%","")</f>
        <v/>
      </c>
      <c r="G53" s="626">
        <f>IF(G48&lt;G49,G49/G48-1,G48/G49-1)</f>
        <v>5.5295950155763274E-2</v>
      </c>
      <c r="H53" s="627" t="str">
        <f>IF(OR(G53&gt;=0.3,G53&lt;=-0.3),"超过30%","")</f>
        <v/>
      </c>
      <c r="I53" s="626">
        <f>IF(I48&lt;I49,I49/I48-1,I48/I49-1)</f>
        <v>2.8963414634146423E-2</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0.17153284671532854</v>
      </c>
      <c r="F54" s="627" t="str">
        <f>IF(OR(E54&gt;=0.2,E54&lt;=-0.2),"超过20%","")</f>
        <v/>
      </c>
      <c r="G54" s="626">
        <f>IF(G49&lt;I49,I49/G49-1,G49/I49-1)</f>
        <v>2.1806853582554409E-2</v>
      </c>
      <c r="H54" s="627" t="str">
        <f>IF(OR(G54&gt;=0.2,G54&lt;=-0.2),"超过20%","")</f>
        <v/>
      </c>
      <c r="I54" s="626">
        <f>IF(I49&lt;E49,E49/I49-1,I49/E49-1)</f>
        <v>0.19708029197080301</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f>IF(E48&lt;G48,G48/E48-1,E48/G48-1)</f>
        <v>0.14830508474576276</v>
      </c>
      <c r="F55" s="627" t="str">
        <f>IF(OR(E55&gt;=0.3,E55&lt;=-0.3),"超过30%","")</f>
        <v/>
      </c>
      <c r="G55" s="626">
        <f>IF(G48&lt;I48,I48/G48-1,G48/I48-1)</f>
        <v>3.7037037037037646E-3</v>
      </c>
      <c r="H55" s="627" t="str">
        <f>IF(OR(G55&gt;=0.3,G55&lt;=-0.3),"超过30%","")</f>
        <v/>
      </c>
      <c r="I55" s="626">
        <f>IF(I48&lt;E48,E48/I48-1,I48/E48-1)</f>
        <v>0.14406779661016955</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559</v>
      </c>
      <c r="B57" s="630" t="s">
        <v>560</v>
      </c>
      <c r="C57" s="1546" t="s">
        <v>1723</v>
      </c>
      <c r="D57" s="2211" t="s">
        <v>2291</v>
      </c>
      <c r="E57" s="631" t="s">
        <v>561</v>
      </c>
      <c r="F57" s="632" t="s">
        <v>562</v>
      </c>
      <c r="G57" s="3399" t="s">
        <v>2279</v>
      </c>
      <c r="H57" s="3400"/>
      <c r="I57" s="1541" t="s">
        <v>1721</v>
      </c>
      <c r="J57" s="1541" t="str">
        <f>项目基本情况!F41</f>
        <v>山东省</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563</v>
      </c>
      <c r="B58" s="634">
        <f>C50</f>
        <v>1231</v>
      </c>
      <c r="C58" s="635">
        <v>1</v>
      </c>
      <c r="D58" s="2212">
        <v>1</v>
      </c>
      <c r="E58" s="635">
        <f>'数据-汇总表'!E8+'数据-汇总表'!E9</f>
        <v>57552.46</v>
      </c>
      <c r="F58" s="636">
        <f t="shared" ref="F58:F67" si="15">ROUND(B58*E58/10000,0)</f>
        <v>7085</v>
      </c>
      <c r="G58" s="3401"/>
      <c r="H58" s="340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564</v>
      </c>
      <c r="B59" s="638">
        <f>ROUND($C$50*C59*D59,0)</f>
        <v>0</v>
      </c>
      <c r="C59" s="378">
        <f t="shared" ref="C59:C67" si="16">IF($C$57="北京市系数",I59,J59)</f>
        <v>0</v>
      </c>
      <c r="D59" s="2213">
        <v>0.25</v>
      </c>
      <c r="E59" s="639">
        <v>0</v>
      </c>
      <c r="F59" s="636">
        <f t="shared" si="15"/>
        <v>0</v>
      </c>
      <c r="G59" s="3403" t="s">
        <v>2280</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565</v>
      </c>
      <c r="B60" s="638">
        <f t="shared" ref="B60:B67" si="17">ROUND($C$50*C60*D60,0)</f>
        <v>0</v>
      </c>
      <c r="C60" s="378">
        <f t="shared" si="16"/>
        <v>0</v>
      </c>
      <c r="D60" s="2213">
        <v>0.25</v>
      </c>
      <c r="E60" s="639">
        <v>0</v>
      </c>
      <c r="F60" s="636">
        <f t="shared" si="15"/>
        <v>0</v>
      </c>
      <c r="G60" s="3403"/>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566</v>
      </c>
      <c r="B61" s="638">
        <f t="shared" si="17"/>
        <v>0</v>
      </c>
      <c r="C61" s="378">
        <f t="shared" si="16"/>
        <v>0</v>
      </c>
      <c r="D61" s="2213">
        <v>0.25</v>
      </c>
      <c r="E61" s="639">
        <v>0</v>
      </c>
      <c r="F61" s="636">
        <f t="shared" si="15"/>
        <v>0</v>
      </c>
      <c r="G61" s="3403"/>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567</v>
      </c>
      <c r="B62" s="638">
        <f t="shared" si="17"/>
        <v>0</v>
      </c>
      <c r="C62" s="378">
        <f t="shared" si="16"/>
        <v>0</v>
      </c>
      <c r="D62" s="2213">
        <v>0.25</v>
      </c>
      <c r="E62" s="639">
        <v>0</v>
      </c>
      <c r="F62" s="636">
        <f t="shared" si="15"/>
        <v>0</v>
      </c>
      <c r="G62" s="3403"/>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2281</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570</v>
      </c>
      <c r="B66" s="638">
        <f t="shared" si="17"/>
        <v>0</v>
      </c>
      <c r="C66" s="378">
        <f t="shared" si="16"/>
        <v>0</v>
      </c>
      <c r="D66" s="2213">
        <v>0.25</v>
      </c>
      <c r="E66" s="641">
        <f>'数据-汇总表'!E14</f>
        <v>0</v>
      </c>
      <c r="F66" s="636">
        <f t="shared" si="15"/>
        <v>0</v>
      </c>
      <c r="G66" s="1929" t="s">
        <v>2280</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571</v>
      </c>
      <c r="B67" s="638">
        <f t="shared" si="17"/>
        <v>0</v>
      </c>
      <c r="C67" s="378">
        <f t="shared" si="16"/>
        <v>0</v>
      </c>
      <c r="D67" s="2213">
        <v>0.25</v>
      </c>
      <c r="E67" s="641">
        <f>'数据-汇总表'!E15</f>
        <v>0</v>
      </c>
      <c r="F67" s="636">
        <f t="shared" si="15"/>
        <v>0</v>
      </c>
      <c r="G67" s="1931" t="s">
        <v>2281</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572</v>
      </c>
      <c r="B68" s="643" t="s">
        <v>17</v>
      </c>
      <c r="C68" s="643" t="s">
        <v>18</v>
      </c>
      <c r="D68" s="643" t="s">
        <v>2292</v>
      </c>
      <c r="E68" s="643">
        <f>IF(B48="楼面地价",SUM(E58:E67),'数据-汇总表'!D3)</f>
        <v>57552.46</v>
      </c>
      <c r="F68" s="644">
        <f>IF(B48="楼面地价",SUM(F58:F67),ROUND(C50*E68/10000,0))</f>
        <v>7085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3" customFormat="1" ht="15">
      <c r="A72" s="2531" t="s">
        <v>2527</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2642</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47">
        <v>95</v>
      </c>
      <c r="N73" s="2748"/>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2" t="s">
        <v>3109</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3（含）-5</v>
      </c>
      <c r="G81" s="682" t="str">
        <f t="shared" si="20"/>
        <v>5（含）-7</v>
      </c>
      <c r="H81" s="682" t="str">
        <f t="shared" si="20"/>
        <v>7（含）-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5</v>
      </c>
      <c r="H82" s="541">
        <v>7</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t="str">
        <f>B15</f>
        <v>回购</v>
      </c>
      <c r="C86" s="3190" t="s">
        <v>3081</v>
      </c>
      <c r="D86" s="3190" t="s">
        <v>3082</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v>85</v>
      </c>
      <c r="D87" s="692">
        <v>100</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99</v>
      </c>
      <c r="E93" s="679">
        <f>D93-$K19</f>
        <v>98</v>
      </c>
      <c r="F93" s="679">
        <f>E93-$K19</f>
        <v>97</v>
      </c>
      <c r="G93" s="679">
        <f>F93-$K19</f>
        <v>96</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99</v>
      </c>
      <c r="E95" s="679">
        <f>D95-$K21</f>
        <v>98</v>
      </c>
      <c r="F95" s="679">
        <f>E95-$K21</f>
        <v>97</v>
      </c>
      <c r="G95" s="679">
        <f>F95-$K21</f>
        <v>96</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2543</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190" t="s">
        <v>3115</v>
      </c>
      <c r="D108" s="3190" t="s">
        <v>3116</v>
      </c>
      <c r="E108" s="3190" t="s">
        <v>3117</v>
      </c>
      <c r="F108" s="3190" t="s">
        <v>3119</v>
      </c>
      <c r="G108" s="3190" t="s">
        <v>3120</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0(含)-10000</v>
      </c>
      <c r="D118" s="704" t="str">
        <f t="shared" si="25"/>
        <v>10000(含)-50000</v>
      </c>
      <c r="E118" s="704" t="str">
        <f t="shared" si="25"/>
        <v>50000(含)-100000</v>
      </c>
      <c r="F118" s="704" t="str">
        <f t="shared" si="25"/>
        <v>100000(含)-150000</v>
      </c>
      <c r="G118" s="704" t="str">
        <f t="shared" si="25"/>
        <v>150000(含)-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10000</v>
      </c>
      <c r="E119" s="730">
        <v>50000</v>
      </c>
      <c r="F119" s="730">
        <v>100000</v>
      </c>
      <c r="G119" s="730">
        <v>150000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96</v>
      </c>
      <c r="D120" s="726">
        <v>98</v>
      </c>
      <c r="E120" s="726">
        <v>100</v>
      </c>
      <c r="F120" s="726">
        <v>98</v>
      </c>
      <c r="G120" s="726">
        <v>96</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3121</v>
      </c>
      <c r="D121" s="3203" t="s">
        <v>3123</v>
      </c>
      <c r="E121" s="3203" t="s">
        <v>3124</v>
      </c>
      <c r="F121" s="3203" t="s">
        <v>3125</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190" t="s">
        <v>3126</v>
      </c>
      <c r="D123" s="3190" t="s">
        <v>3128</v>
      </c>
      <c r="E123" s="3190" t="s">
        <v>3129</v>
      </c>
      <c r="F123" s="3203" t="s">
        <v>3130</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1" t="s">
        <v>3131</v>
      </c>
      <c r="D125" s="1371" t="s">
        <v>3132</v>
      </c>
      <c r="E125" s="1371" t="s">
        <v>3134</v>
      </c>
      <c r="F125" s="1371" t="s">
        <v>3135</v>
      </c>
      <c r="G125" s="1371"/>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190" t="s">
        <v>3137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D28" sqref="D2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10</v>
      </c>
    </row>
    <row r="2" spans="1:31" s="2025" customFormat="1" ht="18" customHeight="1">
      <c r="A2" s="2085" t="s">
        <v>466</v>
      </c>
      <c r="B2" s="2089">
        <f ca="1">C36</f>
        <v>14251</v>
      </c>
      <c r="C2" s="2088"/>
      <c r="D2" s="2088"/>
      <c r="E2" s="2088"/>
      <c r="F2" s="2088"/>
      <c r="G2" s="2088"/>
      <c r="H2" s="2088"/>
      <c r="I2" s="2088"/>
      <c r="J2" s="2088"/>
      <c r="K2" s="2088"/>
    </row>
    <row r="3" spans="1:31" s="2025" customFormat="1" ht="18" customHeight="1">
      <c r="A3" s="2090" t="s">
        <v>1683</v>
      </c>
      <c r="B3" s="2091">
        <f ca="1">ROUND(B2*10000/IF(B1="",'数据-汇总表'!E3,INDIRECT("'数据-取费表'!K"&amp;$K$1)),0)</f>
        <v>961</v>
      </c>
      <c r="C3" s="2088"/>
      <c r="D3" s="2088"/>
      <c r="E3" s="2088"/>
      <c r="F3" s="2088"/>
      <c r="G3" s="2088"/>
      <c r="H3" s="2088"/>
      <c r="I3" s="2088"/>
      <c r="J3" s="2088"/>
      <c r="K3" s="2088"/>
    </row>
    <row r="4" spans="1:31" s="2025" customFormat="1" ht="18" customHeight="1">
      <c r="A4" s="426" t="s">
        <v>467</v>
      </c>
      <c r="B4" s="427">
        <f ca="1">ROUND(B2*10000/IF(B1="",'数据-汇总表'!D3,INDIRECT("'数据-取费表'!R"&amp;$K$1)),0)</f>
        <v>6633</v>
      </c>
      <c r="C4" s="428"/>
      <c r="D4" s="422"/>
      <c r="E4" s="422"/>
      <c r="F4" s="422"/>
      <c r="G4" s="422"/>
      <c r="H4" s="422"/>
      <c r="I4" s="422"/>
      <c r="J4" s="422"/>
      <c r="K4" s="422"/>
    </row>
    <row r="5" spans="1:31" s="2025" customFormat="1" ht="18" customHeight="1" thickBot="1">
      <c r="A5" s="429"/>
      <c r="B5" s="430">
        <f ca="1">ROUND(B2/(IF(B1="",'数据-汇总表'!D3,INDIRECT("'数据-取费表'!R"&amp;$K$1))/666.67),0)</f>
        <v>442</v>
      </c>
      <c r="C5" s="431" t="s">
        <v>468</v>
      </c>
      <c r="D5" s="422"/>
      <c r="E5" s="422"/>
      <c r="F5" s="422"/>
      <c r="G5" s="422"/>
      <c r="H5" s="422"/>
      <c r="I5" s="422"/>
      <c r="J5" s="422"/>
      <c r="K5" s="422"/>
    </row>
    <row r="6" spans="1:31" s="2095" customFormat="1" ht="16.5" customHeight="1">
      <c r="A6" s="2782" t="s">
        <v>1841</v>
      </c>
      <c r="B6" s="2783"/>
      <c r="C6" s="2784">
        <f ca="1">SUM(C10:K10)</f>
        <v>77685.979200000002</v>
      </c>
      <c r="D6" s="2783"/>
      <c r="E6" s="2783"/>
      <c r="F6" s="2783"/>
      <c r="G6" s="2783"/>
      <c r="H6" s="2783"/>
      <c r="I6" s="2783"/>
      <c r="J6" s="2783"/>
      <c r="K6" s="2785"/>
    </row>
    <row r="7" spans="1:31" s="2097" customFormat="1" ht="25.5">
      <c r="A7" s="2786" t="s">
        <v>469</v>
      </c>
      <c r="B7" s="2787" t="s">
        <v>470</v>
      </c>
      <c r="C7" s="436" t="s">
        <v>2990</v>
      </c>
      <c r="D7" s="436" t="s">
        <v>1676</v>
      </c>
      <c r="E7" s="436" t="s">
        <v>3099</v>
      </c>
      <c r="F7" s="436" t="s">
        <v>3102</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2788">
        <f ca="1">'不动产收益法 (商业)'!B3</f>
        <v>10755</v>
      </c>
      <c r="D8" s="2788">
        <f ca="1">不动产收益法!B3</f>
        <v>7976</v>
      </c>
      <c r="E8" s="2788"/>
      <c r="F8" s="2788">
        <v>3100</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46377.61</v>
      </c>
      <c r="D9" s="441">
        <f>SUMIF('数据-汇总表'!$C19:$C33,'剩余法-待开发'!D7,'数据-汇总表'!$E19:$E33)</f>
        <v>11174.849999999999</v>
      </c>
      <c r="E9" s="441">
        <f>SUMIF('数据-汇总表'!$C19:$C33,'剩余法-待开发'!E7,'数据-汇总表'!$E19:$E33)</f>
        <v>0</v>
      </c>
      <c r="F9" s="441">
        <f>SUMIF('数据-汇总表'!$C19:$C33,'剩余法-待开发'!F7,'数据-汇总表'!$E19:$E33)</f>
        <v>60948.32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 ca="1">'不动产收益法 (商业)'!B2</f>
        <v>49879</v>
      </c>
      <c r="D10" s="2980">
        <f ca="1">不动产收益法!B2</f>
        <v>8913</v>
      </c>
      <c r="E10" s="2980"/>
      <c r="F10" s="2791">
        <f>F8*F9/10000</f>
        <v>18893.979200000002</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40139</v>
      </c>
      <c r="D13" s="2798"/>
      <c r="E13" s="2799"/>
      <c r="F13" s="2800"/>
      <c r="G13" s="2766"/>
      <c r="H13" s="2767"/>
      <c r="I13" s="2767"/>
      <c r="J13" s="2767"/>
      <c r="K13" s="2768"/>
    </row>
    <row r="14" spans="1:31" s="2100" customFormat="1" ht="13.5" customHeight="1">
      <c r="A14" s="2796" t="s">
        <v>1848</v>
      </c>
      <c r="B14" s="2797" t="s">
        <v>479</v>
      </c>
      <c r="C14" s="53">
        <f ca="1">ROUND(C13*F14,0)</f>
        <v>1606</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1850</v>
      </c>
      <c r="B16" s="2797" t="s">
        <v>483</v>
      </c>
      <c r="C16" s="53">
        <f ca="1">ROUND(D16*E16/10000,0)</f>
        <v>2966</v>
      </c>
      <c r="D16" s="2798">
        <f ca="1">IF(B1="",'数据-汇总表'!E3,INDIRECT("'数据-取费表'!K"&amp;$K$1)+INDIRECT("'数据-取费表'!S"&amp;$K$1))</f>
        <v>148301.93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602</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45313</v>
      </c>
      <c r="D18" s="2807"/>
      <c r="E18" s="468"/>
      <c r="F18" s="468"/>
      <c r="G18" s="2770" t="s">
        <v>2427</v>
      </c>
      <c r="H18" s="2771"/>
      <c r="I18" s="2771"/>
      <c r="J18" s="2771"/>
      <c r="K18" s="2772"/>
    </row>
    <row r="19" spans="1:14" s="2100" customFormat="1" ht="13.5" customHeight="1">
      <c r="A19" s="2804" t="s">
        <v>1853</v>
      </c>
      <c r="B19" s="2805" t="s">
        <v>487</v>
      </c>
      <c r="C19" s="2762">
        <f ca="1">ROUND(D19*E19/10000,0)</f>
        <v>0</v>
      </c>
      <c r="D19" s="2808">
        <f ca="1">D16</f>
        <v>148301.93</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1720</v>
      </c>
      <c r="D20" s="2808"/>
      <c r="E20" s="2762"/>
      <c r="F20" s="2809"/>
      <c r="G20" s="3039"/>
      <c r="H20" s="2764"/>
      <c r="I20" s="2765" t="s">
        <v>2646</v>
      </c>
      <c r="J20" s="2771"/>
      <c r="K20" s="2772"/>
    </row>
    <row r="21" spans="1:14" s="2100" customFormat="1" ht="13.5" customHeight="1">
      <c r="A21" s="2796" t="s">
        <v>1855</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1856</v>
      </c>
      <c r="B22" s="2797" t="s">
        <v>491</v>
      </c>
      <c r="C22" s="53">
        <f ca="1">ROUND(D22*E22/10000,0)</f>
        <v>1720</v>
      </c>
      <c r="D22" s="2798">
        <f ca="1">IF(B1="",'数据-汇总表'!E6,IF(INDIRECT("'数据-取费表'!c"&amp;$K$1)="住宅",INDIRECT("'数据-取费表'!s"&amp;$K$1),INDIRECT("'数据-取费表'!k"&amp;$K$1)+INDIRECT("'数据-取费表'!s"&amp;$K$1)))</f>
        <v>148301.93</v>
      </c>
      <c r="E22" s="53">
        <f>'数据-取费表'!B28</f>
        <v>116</v>
      </c>
      <c r="F22" s="2801"/>
      <c r="G22" s="26"/>
      <c r="H22" s="51"/>
      <c r="I22" s="51"/>
      <c r="J22" s="51"/>
      <c r="K22" s="2773"/>
    </row>
    <row r="23" spans="1:14" s="2100" customFormat="1" ht="13.5" customHeight="1">
      <c r="A23" s="2804" t="s">
        <v>1857</v>
      </c>
      <c r="B23" s="2986" t="s">
        <v>2829</v>
      </c>
      <c r="C23" s="2806">
        <f ca="1">ROUND((C18+C19+C20)*F23,0)</f>
        <v>705</v>
      </c>
      <c r="D23" s="468"/>
      <c r="E23" s="468"/>
      <c r="F23" s="2810">
        <f>'数据-取费表'!B37</f>
        <v>1.4999999999999999E-2</v>
      </c>
      <c r="G23" s="2766" t="s">
        <v>2428</v>
      </c>
      <c r="H23" s="2767"/>
      <c r="I23" s="2767"/>
      <c r="J23" s="2767"/>
      <c r="K23" s="2768"/>
      <c r="L23" s="2102"/>
      <c r="M23" s="2102"/>
      <c r="N23" s="2102"/>
    </row>
    <row r="24" spans="1:14" s="2100" customFormat="1" ht="13.5" customHeight="1">
      <c r="A24" s="2804" t="s">
        <v>1858</v>
      </c>
      <c r="B24" s="2986" t="s">
        <v>2832</v>
      </c>
      <c r="C24" s="2806">
        <f ca="1">ROUND(C6*F24,0)</f>
        <v>1165</v>
      </c>
      <c r="D24" s="475"/>
      <c r="E24" s="473"/>
      <c r="F24" s="2810">
        <f>'数据-取费表'!B38</f>
        <v>1.4999999999999999E-2</v>
      </c>
      <c r="G24" s="2775" t="s">
        <v>498</v>
      </c>
      <c r="H24" s="2769"/>
      <c r="I24" s="2769"/>
      <c r="J24" s="2769"/>
      <c r="K24" s="279"/>
      <c r="L24" s="2102"/>
      <c r="M24" s="2102"/>
      <c r="N24" s="2102"/>
    </row>
    <row r="25" spans="1:14" s="2103" customFormat="1" ht="13.5" customHeight="1">
      <c r="A25" s="2804" t="s">
        <v>1859</v>
      </c>
      <c r="B25" s="2986" t="s">
        <v>2830</v>
      </c>
      <c r="C25" s="467">
        <f>ROUND(F25/(1+'数据-取费表'!C42),4)</f>
        <v>3.8600000000000002E-2</v>
      </c>
      <c r="D25" s="462" t="s">
        <v>2824</v>
      </c>
      <c r="E25" s="469"/>
      <c r="F25" s="2810">
        <f>IF(项目基本情况!B8="出让",0,'数据-取费表'!B48+'数据-取费表'!B49)</f>
        <v>4.0500000000000001E-2</v>
      </c>
      <c r="G25" s="2774" t="s">
        <v>2287</v>
      </c>
      <c r="H25" s="2767"/>
      <c r="I25" s="2767"/>
      <c r="J25" s="2767"/>
      <c r="K25" s="2768"/>
    </row>
    <row r="26" spans="1:14" s="2102" customFormat="1" ht="13.5" customHeight="1">
      <c r="A26" s="2804" t="s">
        <v>1860</v>
      </c>
      <c r="B26" s="2987" t="s">
        <v>2831</v>
      </c>
      <c r="C26" s="2811">
        <f ca="1">C28</f>
        <v>2921</v>
      </c>
      <c r="D26" s="467">
        <f ca="1">C27</f>
        <v>0.1278</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0.1278</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2833</v>
      </c>
      <c r="C28" s="2814">
        <f ca="1">ROUND(IF('数据-取费表'!B22&lt;=1,(C18+C19+C20+C23+C24)*F26*'数据-取费表'!B24/2,(C18+C19+C20+C23+C24)*(POWER((1+F26),'数据-取费表'!B24/2)-1)),0)</f>
        <v>2921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4143</v>
      </c>
      <c r="D29" s="468"/>
      <c r="E29" s="468"/>
      <c r="F29" s="2988">
        <f>'数据-取费表'!B41</f>
        <v>5.6000000000000001E-2</v>
      </c>
      <c r="G29" s="2775" t="s">
        <v>497</v>
      </c>
      <c r="H29" s="2767"/>
      <c r="I29" s="2767"/>
      <c r="J29" s="2767"/>
      <c r="K29" s="2768"/>
    </row>
    <row r="30" spans="1:14" s="2105" customFormat="1" ht="13.5" customHeight="1">
      <c r="A30" s="1620" t="s">
        <v>1862</v>
      </c>
      <c r="B30" s="2816" t="s">
        <v>499</v>
      </c>
      <c r="C30" s="2811">
        <f ca="1">C31</f>
        <v>55967</v>
      </c>
      <c r="D30" s="477">
        <f ca="1">C32</f>
        <v>0.16639999999999999</v>
      </c>
      <c r="E30" s="469" t="s">
        <v>494</v>
      </c>
      <c r="F30" s="471"/>
      <c r="G30" s="2774" t="s">
        <v>2965</v>
      </c>
      <c r="H30" s="2767"/>
      <c r="I30" s="2767"/>
      <c r="J30" s="2767"/>
      <c r="K30" s="2768"/>
    </row>
    <row r="31" spans="1:14" s="2104" customFormat="1" ht="13.5" customHeight="1">
      <c r="A31" s="803" t="s">
        <v>1855</v>
      </c>
      <c r="B31" s="2812"/>
      <c r="C31" s="450">
        <f ca="1">C18+C19+C20+C23+C24+C26+C29</f>
        <v>55967</v>
      </c>
      <c r="D31" s="472"/>
      <c r="E31" s="473"/>
      <c r="F31" s="474"/>
      <c r="G31" s="261"/>
      <c r="H31" s="2769"/>
      <c r="I31" s="2769"/>
      <c r="J31" s="2769"/>
      <c r="K31" s="279"/>
    </row>
    <row r="32" spans="1:14" s="2104" customFormat="1" ht="13.5" customHeight="1">
      <c r="A32" s="803" t="s">
        <v>1856</v>
      </c>
      <c r="B32" s="2812"/>
      <c r="C32" s="53">
        <f ca="1">ROUND(C25+D26,4)</f>
        <v>0.16639999999999999</v>
      </c>
      <c r="D32" s="472"/>
      <c r="E32" s="473"/>
      <c r="F32" s="474"/>
      <c r="G32" s="261"/>
      <c r="H32" s="2769"/>
      <c r="I32" s="2769"/>
      <c r="J32" s="2769"/>
      <c r="K32" s="279"/>
    </row>
    <row r="33" spans="1:11" s="2106" customFormat="1" ht="13.5" customHeight="1">
      <c r="A33" s="2985" t="s">
        <v>2828</v>
      </c>
      <c r="B33" s="2983" t="s">
        <v>2826</v>
      </c>
      <c r="C33" s="478">
        <f ca="1">C35</f>
        <v>3912</v>
      </c>
      <c r="D33" s="467">
        <f ca="1">C34</f>
        <v>8.3099999999999993E-2</v>
      </c>
      <c r="E33" s="469" t="s">
        <v>494</v>
      </c>
      <c r="F33" s="479">
        <f ca="1">IF(B1="",'数据-取费表'!Q16,INDIRECT("'数据-取费表'!q"&amp;$K$1))</f>
        <v>0.08</v>
      </c>
      <c r="G33" s="2770"/>
      <c r="H33" s="2771"/>
      <c r="I33" s="2771"/>
      <c r="J33" s="2771"/>
      <c r="K33" s="2772"/>
    </row>
    <row r="34" spans="1:11" s="2107" customFormat="1" ht="13.5" customHeight="1">
      <c r="A34" s="375" t="s">
        <v>1855</v>
      </c>
      <c r="B34" s="2817" t="s">
        <v>500</v>
      </c>
      <c r="C34" s="472">
        <f ca="1">ROUND((1+C25)*F33,4)</f>
        <v>8.3099999999999993E-2</v>
      </c>
      <c r="D34" s="472"/>
      <c r="E34" s="473"/>
      <c r="F34" s="480"/>
      <c r="G34" s="261" t="s">
        <v>2288</v>
      </c>
      <c r="H34" s="2769"/>
      <c r="I34" s="2769"/>
      <c r="J34" s="2769"/>
      <c r="K34" s="279"/>
    </row>
    <row r="35" spans="1:11" s="2107" customFormat="1" ht="13.5" customHeight="1" thickBot="1">
      <c r="A35" s="1621" t="s">
        <v>1856</v>
      </c>
      <c r="B35" s="2984" t="s">
        <v>2834</v>
      </c>
      <c r="C35" s="1613">
        <f ca="1">ROUND((C18+C19+C20+C23+C24)*F33,0)</f>
        <v>3912</v>
      </c>
      <c r="D35" s="1614"/>
      <c r="E35" s="2818"/>
      <c r="F35" s="1615"/>
      <c r="G35" s="2776"/>
      <c r="H35" s="2777"/>
      <c r="I35" s="2777"/>
      <c r="J35" s="2777"/>
      <c r="K35" s="2778"/>
    </row>
    <row r="36" spans="1:11" s="2069" customFormat="1" ht="13.5" customHeight="1" thickBot="1">
      <c r="A36" s="284" t="s">
        <v>1843</v>
      </c>
      <c r="B36" s="2780"/>
      <c r="C36" s="2819">
        <f ca="1">ROUND((C6-C30-C33)/(1+D30+D33),0)</f>
        <v>14251</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04" t="str">
        <f>项目基本情况!B1</f>
        <v>山东省济宁市洸府河以东，红星路以南出让国有建设用地使用权抵押价格预评估</v>
      </c>
      <c r="C37" s="3204"/>
      <c r="D37" s="3204"/>
      <c r="E37" s="3204"/>
      <c r="F37" s="3204"/>
      <c r="G37" s="3204"/>
      <c r="H37" s="3204"/>
      <c r="I37" s="3204"/>
    </row>
    <row r="38" spans="1:9">
      <c r="A38" s="1641"/>
      <c r="B38" s="1641"/>
    </row>
    <row r="39" spans="1:9">
      <c r="A39" s="1639" t="s">
        <v>1900</v>
      </c>
      <c r="B39" s="1639" t="s">
        <v>2044</v>
      </c>
    </row>
    <row r="40" spans="1:9">
      <c r="A40" s="1639"/>
      <c r="B40" s="1639" t="str">
        <f>项目基本情况!B5</f>
        <v>国民信托</v>
      </c>
    </row>
    <row r="41" spans="1:9">
      <c r="A41" s="1639"/>
      <c r="B41" s="1639"/>
    </row>
    <row r="42" spans="1:9">
      <c r="A42" s="1639" t="s">
        <v>1900</v>
      </c>
      <c r="B42" s="1639" t="s">
        <v>2045</v>
      </c>
    </row>
    <row r="43" spans="1:9">
      <c r="A43" s="1639"/>
      <c r="B43" s="1639" t="s">
        <v>1902</v>
      </c>
    </row>
    <row r="44" spans="1:9">
      <c r="A44" s="1639"/>
      <c r="B44" s="1639"/>
    </row>
    <row r="45" spans="1:9">
      <c r="A45" s="1639" t="s">
        <v>1900</v>
      </c>
      <c r="B45" s="1639" t="s">
        <v>2043</v>
      </c>
    </row>
    <row r="46" spans="1:9" s="1639" customFormat="1" ht="12.75">
      <c r="B46" s="1639" t="str">
        <f>项目基本情况!K4</f>
        <v>王鹏、赵雯</v>
      </c>
    </row>
    <row r="47" spans="1:9">
      <c r="A47" s="1639"/>
      <c r="B47" s="1639"/>
    </row>
    <row r="48" spans="1:9">
      <c r="A48" s="1639" t="s">
        <v>1900</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10</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5"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2647</v>
      </c>
      <c r="B6" s="433"/>
      <c r="C6" s="1608">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1846</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1863</v>
      </c>
      <c r="B11" s="1606"/>
      <c r="C11" s="1606"/>
      <c r="D11" s="1606"/>
      <c r="E11" s="1606"/>
      <c r="F11" s="1606"/>
      <c r="G11" s="1606"/>
      <c r="H11" s="1606"/>
      <c r="I11" s="1606"/>
      <c r="J11" s="1606"/>
      <c r="K11" s="1607"/>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8" t="s">
        <v>1847</v>
      </c>
      <c r="B13" s="449" t="s">
        <v>478</v>
      </c>
      <c r="C13" s="450">
        <f ca="1">IF(B1="",'数据-取费表'!M16,INDIRECT("'数据-取费表'!M"&amp;$K$1)+INDIRECT("'数据-取费表'!t"&amp;$K$1))</f>
        <v>40139</v>
      </c>
      <c r="D13" s="451"/>
      <c r="E13" s="365"/>
      <c r="F13" s="452"/>
      <c r="G13" s="444"/>
      <c r="H13" s="447"/>
      <c r="I13" s="447"/>
      <c r="J13" s="447"/>
      <c r="K13" s="448"/>
    </row>
    <row r="14" spans="1:41" s="2100" customFormat="1" ht="13.5" customHeight="1">
      <c r="A14" s="1618" t="s">
        <v>1848</v>
      </c>
      <c r="B14" s="449" t="s">
        <v>479</v>
      </c>
      <c r="C14" s="53">
        <f ca="1">ROUND(C13*F14,0)</f>
        <v>1606</v>
      </c>
      <c r="D14" s="451"/>
      <c r="E14" s="365"/>
      <c r="F14" s="453">
        <f>'数据-取费表'!B33</f>
        <v>0.04</v>
      </c>
      <c r="G14" s="444" t="s">
        <v>501</v>
      </c>
      <c r="H14" s="447"/>
      <c r="I14" s="447"/>
      <c r="J14" s="447"/>
      <c r="K14" s="448"/>
    </row>
    <row r="15" spans="1:41" s="2100" customFormat="1" ht="13.5" customHeight="1">
      <c r="A15" s="1618" t="s">
        <v>1849</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1" customFormat="1" ht="13.5" customHeight="1">
      <c r="A16" s="1618" t="s">
        <v>1850</v>
      </c>
      <c r="B16" s="449" t="s">
        <v>483</v>
      </c>
      <c r="C16" s="53">
        <f ca="1">ROUND(D16*E16/10000,0)</f>
        <v>2966</v>
      </c>
      <c r="D16" s="451">
        <f ca="1">IF(B1="",'数据-汇总表'!E3,INDIRECT("'数据-取费表'!K"&amp;$K$1)+INDIRECT("'数据-取费表'!S"&amp;$K$1))</f>
        <v>148301.93</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1851</v>
      </c>
      <c r="B17" s="449" t="s">
        <v>484</v>
      </c>
      <c r="C17" s="454">
        <f ca="1">ROUND(C13*F17,0)</f>
        <v>602</v>
      </c>
      <c r="D17" s="455"/>
      <c r="E17" s="454"/>
      <c r="F17" s="456">
        <f>'数据-取费表'!B36</f>
        <v>1.4999999999999999E-2</v>
      </c>
      <c r="G17" s="444" t="s">
        <v>501</v>
      </c>
      <c r="H17" s="457"/>
      <c r="I17" s="457"/>
      <c r="J17" s="457"/>
      <c r="K17" s="458"/>
    </row>
    <row r="18" spans="1:14" s="2103" customFormat="1" ht="13.5" customHeight="1">
      <c r="A18" s="1619" t="s">
        <v>1852</v>
      </c>
      <c r="B18" s="459" t="s">
        <v>486</v>
      </c>
      <c r="C18" s="460">
        <f ca="1">SUM(C13:C17)</f>
        <v>45313</v>
      </c>
      <c r="D18" s="461"/>
      <c r="E18" s="462"/>
      <c r="F18" s="462"/>
      <c r="G18" s="1323" t="s">
        <v>2429</v>
      </c>
      <c r="H18" s="447"/>
      <c r="I18" s="447"/>
      <c r="J18" s="447"/>
      <c r="K18" s="448"/>
    </row>
    <row r="19" spans="1:14" s="2103" customFormat="1" ht="13.5" customHeight="1">
      <c r="A19" s="1619" t="s">
        <v>1853</v>
      </c>
      <c r="B19" s="459" t="s">
        <v>492</v>
      </c>
      <c r="C19" s="460">
        <f ca="1">ROUND(C18*F19,0)</f>
        <v>680</v>
      </c>
      <c r="D19" s="462"/>
      <c r="E19" s="462"/>
      <c r="F19" s="466">
        <f>'数据-取费表'!B37</f>
        <v>1.4999999999999999E-2</v>
      </c>
      <c r="G19" s="444" t="s">
        <v>502</v>
      </c>
      <c r="H19" s="447"/>
      <c r="I19" s="447"/>
      <c r="J19" s="447"/>
      <c r="K19" s="448"/>
      <c r="L19" s="2105"/>
      <c r="M19" s="2105"/>
      <c r="N19" s="2105"/>
    </row>
    <row r="20" spans="1:14" s="2103" customFormat="1" ht="13.5" customHeight="1">
      <c r="A20" s="1619" t="s">
        <v>1854</v>
      </c>
      <c r="B20" s="459" t="s">
        <v>503</v>
      </c>
      <c r="C20" s="2981">
        <f>F20</f>
        <v>1.4999999999999999E-2</v>
      </c>
      <c r="D20" s="469" t="s">
        <v>504</v>
      </c>
      <c r="E20" s="469"/>
      <c r="F20" s="486">
        <f>'数据-取费表'!B38</f>
        <v>1.4999999999999999E-2</v>
      </c>
      <c r="G20" s="1323" t="s">
        <v>505</v>
      </c>
      <c r="H20" s="447"/>
      <c r="I20" s="447"/>
      <c r="J20" s="447"/>
      <c r="K20" s="448"/>
      <c r="L20" s="2105"/>
      <c r="M20" s="2105"/>
      <c r="N20" s="2105"/>
    </row>
    <row r="21" spans="1:14" s="2105" customFormat="1" ht="13.5" customHeight="1">
      <c r="A21" s="1619" t="s">
        <v>1857</v>
      </c>
      <c r="B21" s="461" t="s">
        <v>493</v>
      </c>
      <c r="C21" s="470">
        <f ca="1">C22</f>
        <v>2747</v>
      </c>
      <c r="D21" s="467">
        <f ca="1">C23</f>
        <v>8.9999999999999998E-4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8" t="s">
        <v>1847</v>
      </c>
      <c r="B22" s="1324" t="s">
        <v>2432</v>
      </c>
      <c r="C22" s="487">
        <f ca="1">ROUND(IF('数据-取费表'!B22&lt;=1,(C18+C19)*F21*'数据-取费表'!B20/2,(C18+C19)*(POWER((1+F21),'数据-取费表'!B20/2)-1)),0)</f>
        <v>2747</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1848</v>
      </c>
      <c r="B23" s="1324" t="s">
        <v>507</v>
      </c>
      <c r="C23" s="488">
        <f ca="1">ROUND(IF('数据-取费表'!B22&lt;=1,F20*F21*'数据-取费表'!B20/2,F20*(POWER((1+F21),'数据-取费表'!B20/2)-1)),4)</f>
        <v>8.9999999999999998E-4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1858</v>
      </c>
      <c r="B24" s="2983" t="s">
        <v>2827</v>
      </c>
      <c r="C24" s="478">
        <f ca="1">C25</f>
        <v>3679</v>
      </c>
      <c r="D24" s="489">
        <f ca="1">C26</f>
        <v>1.1999999999999999E-3</v>
      </c>
      <c r="E24" s="469" t="s">
        <v>506</v>
      </c>
      <c r="F24" s="479">
        <f ca="1">IF(B1="",'数据-取费表'!Q16,INDIRECT("'数据-取费表'!q"&amp;$K$1))</f>
        <v>0.08</v>
      </c>
      <c r="G24" s="444"/>
      <c r="H24" s="447"/>
      <c r="I24" s="447"/>
      <c r="J24" s="447"/>
      <c r="K24" s="448"/>
    </row>
    <row r="25" spans="1:14" s="2104" customFormat="1" ht="13.5" customHeight="1">
      <c r="A25" s="1618" t="s">
        <v>1847</v>
      </c>
      <c r="B25" s="1324" t="s">
        <v>2433</v>
      </c>
      <c r="C25" s="490">
        <f ca="1">ROUND((C18+C19)*F24,0)</f>
        <v>3679</v>
      </c>
      <c r="D25" s="472"/>
      <c r="E25" s="473"/>
      <c r="F25" s="480"/>
      <c r="G25" s="1322" t="s">
        <v>2430</v>
      </c>
      <c r="H25" s="457"/>
      <c r="I25" s="457"/>
      <c r="J25" s="457"/>
      <c r="K25" s="458"/>
    </row>
    <row r="26" spans="1:14" s="2104" customFormat="1" ht="13.5" customHeight="1">
      <c r="A26" s="1618" t="s">
        <v>1848</v>
      </c>
      <c r="B26" s="1324" t="s">
        <v>508</v>
      </c>
      <c r="C26" s="491">
        <f ca="1">ROUND(F20*F24,4)</f>
        <v>1.1999999999999999E-3</v>
      </c>
      <c r="D26" s="472"/>
      <c r="E26" s="481"/>
      <c r="F26" s="480"/>
      <c r="G26" s="1322" t="s">
        <v>509</v>
      </c>
      <c r="H26" s="457"/>
      <c r="I26" s="457"/>
      <c r="J26" s="457"/>
      <c r="K26" s="458"/>
    </row>
    <row r="27" spans="1:14" s="2104" customFormat="1" ht="13.5" customHeight="1">
      <c r="A27" s="1622" t="s">
        <v>1866</v>
      </c>
      <c r="B27" s="459" t="s">
        <v>510</v>
      </c>
      <c r="C27" s="2982">
        <f>ROUND(F27/(1+'数据-取费表'!C42),4)</f>
        <v>5.33E-2</v>
      </c>
      <c r="D27" s="462" t="s">
        <v>2825</v>
      </c>
      <c r="E27" s="462"/>
      <c r="F27" s="466">
        <f>'数据-取费表'!B41</f>
        <v>5.6000000000000001E-2</v>
      </c>
      <c r="G27" s="1944" t="s">
        <v>2289</v>
      </c>
      <c r="H27" s="447"/>
      <c r="I27" s="447"/>
      <c r="J27" s="447"/>
      <c r="K27" s="448"/>
    </row>
    <row r="28" spans="1:14" s="2105" customFormat="1" ht="13.5" customHeight="1">
      <c r="A28" s="1622" t="s">
        <v>1867</v>
      </c>
      <c r="B28" s="476" t="s">
        <v>511</v>
      </c>
      <c r="C28" s="470">
        <f ca="1">ROUND((C18+C19+C21+C24)/(1-C20-D21-D24-C27),0)</f>
        <v>56389</v>
      </c>
      <c r="D28" s="477"/>
      <c r="E28" s="469"/>
      <c r="F28" s="471"/>
      <c r="G28" s="1323" t="s">
        <v>2431</v>
      </c>
      <c r="H28" s="447"/>
      <c r="I28" s="447"/>
      <c r="J28" s="447"/>
      <c r="K28" s="448"/>
    </row>
    <row r="29" spans="1:14" s="2105"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5" t="s">
        <v>514</v>
      </c>
      <c r="H30" s="496"/>
      <c r="I30" s="496"/>
      <c r="J30" s="447"/>
      <c r="K30" s="448"/>
    </row>
    <row r="31" spans="1:14" s="2110"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520</v>
      </c>
      <c r="B6" s="513"/>
      <c r="C6" s="3378" t="s">
        <v>521</v>
      </c>
      <c r="D6" s="3379"/>
      <c r="E6" s="3414" t="s">
        <v>522</v>
      </c>
      <c r="F6" s="3415"/>
      <c r="G6" s="3378" t="s">
        <v>523</v>
      </c>
      <c r="H6" s="3379"/>
      <c r="I6" s="3378" t="s">
        <v>524</v>
      </c>
      <c r="J6" s="3379"/>
      <c r="K6" s="514" t="s">
        <v>525</v>
      </c>
      <c r="L6" s="2117"/>
      <c r="M6" s="2118"/>
      <c r="N6" s="2118"/>
      <c r="O6" s="2118"/>
      <c r="P6" s="3380" t="s">
        <v>526</v>
      </c>
      <c r="Q6" s="3381"/>
      <c r="R6" s="3386" t="s">
        <v>522</v>
      </c>
      <c r="S6" s="3387"/>
      <c r="T6" s="3386" t="s">
        <v>523</v>
      </c>
      <c r="U6" s="3387"/>
      <c r="V6" s="3373" t="s">
        <v>524</v>
      </c>
      <c r="W6" s="3373"/>
      <c r="X6" s="1553"/>
      <c r="Y6" s="3386" t="s">
        <v>526</v>
      </c>
      <c r="Z6" s="3387"/>
      <c r="AA6" s="3375" t="s">
        <v>522</v>
      </c>
      <c r="AB6" s="3376" t="s">
        <v>523</v>
      </c>
      <c r="AC6" s="3375" t="s">
        <v>524</v>
      </c>
    </row>
    <row r="7" spans="1:29" ht="15">
      <c r="A7" s="515"/>
      <c r="B7" s="516"/>
      <c r="C7" s="3394" t="s">
        <v>2923</v>
      </c>
      <c r="D7" s="3395"/>
      <c r="E7" s="3416" t="s">
        <v>2924</v>
      </c>
      <c r="F7" s="3417"/>
      <c r="G7" s="3394" t="s">
        <v>2925</v>
      </c>
      <c r="H7" s="3395"/>
      <c r="I7" s="3394" t="s">
        <v>2926</v>
      </c>
      <c r="J7" s="3395"/>
      <c r="K7" s="514"/>
      <c r="L7" s="2117"/>
      <c r="M7" s="2118"/>
      <c r="N7" s="2118"/>
      <c r="O7" s="2118"/>
      <c r="P7" s="3382"/>
      <c r="Q7" s="3383"/>
      <c r="R7" s="3388"/>
      <c r="S7" s="3389"/>
      <c r="T7" s="3388"/>
      <c r="U7" s="3389"/>
      <c r="V7" s="3373"/>
      <c r="W7" s="3373"/>
      <c r="X7" s="1553"/>
      <c r="Y7" s="3388"/>
      <c r="Z7" s="3389"/>
      <c r="AA7" s="3376"/>
      <c r="AB7" s="3376"/>
      <c r="AC7" s="3376"/>
    </row>
    <row r="8" spans="1:29" ht="15.75" thickBot="1">
      <c r="A8" s="517"/>
      <c r="B8" s="518"/>
      <c r="C8" s="3411" t="s">
        <v>2927</v>
      </c>
      <c r="D8" s="3393"/>
      <c r="E8" s="3412" t="s">
        <v>2927</v>
      </c>
      <c r="F8" s="3413"/>
      <c r="G8" s="3411" t="s">
        <v>2927</v>
      </c>
      <c r="H8" s="3393"/>
      <c r="I8" s="3411" t="s">
        <v>2927</v>
      </c>
      <c r="J8" s="3393"/>
      <c r="K8" s="514" t="s">
        <v>527</v>
      </c>
      <c r="L8" s="2117"/>
      <c r="M8" s="2118"/>
      <c r="N8" s="2118"/>
      <c r="O8" s="2118"/>
      <c r="P8" s="3384"/>
      <c r="Q8" s="3385"/>
      <c r="R8" s="3388"/>
      <c r="S8" s="3389"/>
      <c r="T8" s="3390"/>
      <c r="U8" s="3391"/>
      <c r="V8" s="3373"/>
      <c r="W8" s="3373"/>
      <c r="X8" s="1553"/>
      <c r="Y8" s="3390"/>
      <c r="Z8" s="3391"/>
      <c r="AA8" s="3377"/>
      <c r="AB8" s="3377"/>
      <c r="AC8" s="3377"/>
    </row>
    <row r="9" spans="1:29" s="1216" customFormat="1" ht="15.75" thickBot="1">
      <c r="A9" s="2866"/>
      <c r="B9" s="2873" t="s">
        <v>528</v>
      </c>
      <c r="C9" s="519">
        <f>'数据-取费表'!B2</f>
        <v>43651</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4" t="s">
        <v>529</v>
      </c>
      <c r="Q9" s="3406"/>
      <c r="R9" s="1554" t="s">
        <v>8</v>
      </c>
      <c r="S9" s="1555">
        <f t="shared" ref="S9:S17" si="0">F9</f>
        <v>0</v>
      </c>
      <c r="T9" s="1554" t="s">
        <v>8</v>
      </c>
      <c r="U9" s="1555">
        <f t="shared" ref="U9:U17" si="1">H9</f>
        <v>0</v>
      </c>
      <c r="V9" s="1554" t="s">
        <v>8</v>
      </c>
      <c r="W9" s="1555">
        <f t="shared" ref="W9:W17" si="2">J9</f>
        <v>0</v>
      </c>
      <c r="X9" s="1556"/>
      <c r="Y9" s="3404" t="s">
        <v>529</v>
      </c>
      <c r="Z9" s="3405"/>
      <c r="AA9" s="1557" t="e">
        <f>D9/F9</f>
        <v>#DIV/0!</v>
      </c>
      <c r="AB9" s="1557" t="e">
        <f>D9/H9</f>
        <v>#DIV/0!</v>
      </c>
      <c r="AC9" s="1557"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4" t="s">
        <v>532</v>
      </c>
      <c r="Q10" s="3405"/>
      <c r="R10" s="1554" t="s">
        <v>8</v>
      </c>
      <c r="S10" s="1555">
        <f t="shared" si="0"/>
        <v>0</v>
      </c>
      <c r="T10" s="1554" t="s">
        <v>8</v>
      </c>
      <c r="U10" s="1555">
        <f t="shared" si="1"/>
        <v>0</v>
      </c>
      <c r="V10" s="1554" t="s">
        <v>8</v>
      </c>
      <c r="W10" s="1555">
        <f t="shared" si="2"/>
        <v>0</v>
      </c>
      <c r="X10" s="1556"/>
      <c r="Y10" s="3404" t="s">
        <v>532</v>
      </c>
      <c r="Z10" s="3405"/>
      <c r="AA10" s="1557" t="e">
        <f t="shared" ref="AA10:AA42" si="3">D10/F10</f>
        <v>#DIV/0!</v>
      </c>
      <c r="AB10" s="1557" t="e">
        <f t="shared" ref="AB10:AB42" si="4">D10/H10</f>
        <v>#DIV/0!</v>
      </c>
      <c r="AC10" s="1557" t="e">
        <f t="shared" ref="AC10:AC42" si="5">D10/J10</f>
        <v>#DIV/0!</v>
      </c>
    </row>
    <row r="11" spans="1:29" s="1216" customFormat="1" ht="15">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2" t="s">
        <v>534</v>
      </c>
      <c r="Q11" s="1147" t="str">
        <f t="shared" ref="Q11:Q17" si="6">B11</f>
        <v>用途</v>
      </c>
      <c r="R11" s="1554" t="s">
        <v>8</v>
      </c>
      <c r="S11" s="1555">
        <f t="shared" si="0"/>
        <v>100</v>
      </c>
      <c r="T11" s="1554" t="s">
        <v>8</v>
      </c>
      <c r="U11" s="1555">
        <f t="shared" si="1"/>
        <v>100</v>
      </c>
      <c r="V11" s="1554" t="s">
        <v>8</v>
      </c>
      <c r="W11" s="1555">
        <f t="shared" si="2"/>
        <v>100</v>
      </c>
      <c r="X11" s="1556"/>
      <c r="Y11" s="3318" t="s">
        <v>535</v>
      </c>
      <c r="Z11" s="1146" t="str">
        <f t="shared" ref="Z11:Z17" si="7">Q11</f>
        <v>用途</v>
      </c>
      <c r="AA11" s="1557">
        <f t="shared" si="3"/>
        <v>1</v>
      </c>
      <c r="AB11" s="1557">
        <f t="shared" si="4"/>
        <v>1</v>
      </c>
      <c r="AC11" s="1557">
        <f t="shared" si="5"/>
        <v>1</v>
      </c>
    </row>
    <row r="12" spans="1:29" s="1334" customFormat="1" ht="27">
      <c r="A12" s="2869"/>
      <c r="B12" s="2874" t="s">
        <v>2752</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72"/>
      <c r="Q12" s="1147" t="str">
        <f t="shared" si="6"/>
        <v>土地使用年限（年）</v>
      </c>
      <c r="R12" s="1554" t="s">
        <v>8</v>
      </c>
      <c r="S12" s="1555">
        <f t="shared" si="0"/>
        <v>102</v>
      </c>
      <c r="T12" s="1554" t="s">
        <v>8</v>
      </c>
      <c r="U12" s="1555">
        <f t="shared" si="1"/>
        <v>102</v>
      </c>
      <c r="V12" s="1554" t="s">
        <v>8</v>
      </c>
      <c r="W12" s="1555">
        <f t="shared" si="2"/>
        <v>102</v>
      </c>
      <c r="X12" s="1556"/>
      <c r="Y12" s="3318"/>
      <c r="Z12" s="1146" t="str">
        <f t="shared" si="7"/>
        <v>土地使用年限（年）</v>
      </c>
      <c r="AA12" s="1557">
        <f t="shared" si="3"/>
        <v>0.98039215686274506</v>
      </c>
      <c r="AB12" s="1557">
        <f t="shared" si="4"/>
        <v>0.98039215686274506</v>
      </c>
      <c r="AC12" s="1557">
        <f t="shared" si="5"/>
        <v>0.98039215686274506</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2"/>
      <c r="Q13" s="1147" t="str">
        <f t="shared" si="6"/>
        <v>容积率</v>
      </c>
      <c r="R13" s="1554" t="s">
        <v>8</v>
      </c>
      <c r="S13" s="1555" t="e">
        <f t="shared" si="0"/>
        <v>#N/A</v>
      </c>
      <c r="T13" s="1554" t="s">
        <v>8</v>
      </c>
      <c r="U13" s="1555" t="e">
        <f t="shared" si="1"/>
        <v>#N/A</v>
      </c>
      <c r="V13" s="1554" t="s">
        <v>8</v>
      </c>
      <c r="W13" s="1555" t="e">
        <f t="shared" si="2"/>
        <v>#N/A</v>
      </c>
      <c r="X13" s="1556"/>
      <c r="Y13" s="3318"/>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2"/>
      <c r="Q15" s="1147">
        <f t="shared" si="6"/>
        <v>111</v>
      </c>
      <c r="R15" s="1554" t="s">
        <v>8</v>
      </c>
      <c r="S15" s="1555">
        <f t="shared" si="0"/>
        <v>100</v>
      </c>
      <c r="T15" s="1554" t="s">
        <v>8</v>
      </c>
      <c r="U15" s="1555">
        <f t="shared" si="1"/>
        <v>100</v>
      </c>
      <c r="V15" s="1554" t="s">
        <v>8</v>
      </c>
      <c r="W15" s="1555">
        <f t="shared" si="2"/>
        <v>100</v>
      </c>
      <c r="X15" s="1556"/>
      <c r="Y15" s="3318"/>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2"/>
      <c r="Q16" s="1147">
        <f t="shared" si="6"/>
        <v>111</v>
      </c>
      <c r="R16" s="1554" t="s">
        <v>8</v>
      </c>
      <c r="S16" s="1555">
        <f t="shared" si="0"/>
        <v>100</v>
      </c>
      <c r="T16" s="1554" t="s">
        <v>8</v>
      </c>
      <c r="U16" s="1555">
        <f t="shared" si="1"/>
        <v>100</v>
      </c>
      <c r="V16" s="1554" t="s">
        <v>8</v>
      </c>
      <c r="W16" s="1555">
        <f t="shared" si="2"/>
        <v>100</v>
      </c>
      <c r="X16" s="1556"/>
      <c r="Y16" s="3318"/>
      <c r="Z16" s="1146">
        <f t="shared" si="7"/>
        <v>111</v>
      </c>
      <c r="AA16" s="1557">
        <f t="shared" si="3"/>
        <v>1</v>
      </c>
      <c r="AB16" s="1557">
        <f t="shared" si="4"/>
        <v>1</v>
      </c>
      <c r="AC16" s="1557">
        <f t="shared" si="5"/>
        <v>1</v>
      </c>
    </row>
    <row r="17" spans="1:29" ht="57">
      <c r="A17" s="2864"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7" t="s">
        <v>539</v>
      </c>
      <c r="Q17" s="1558" t="str">
        <f t="shared" si="6"/>
        <v>产业集聚程度</v>
      </c>
      <c r="R17" s="1559" t="s">
        <v>8</v>
      </c>
      <c r="S17" s="1560">
        <f t="shared" si="0"/>
        <v>100</v>
      </c>
      <c r="T17" s="1559" t="s">
        <v>8</v>
      </c>
      <c r="U17" s="1560">
        <f t="shared" si="1"/>
        <v>100</v>
      </c>
      <c r="V17" s="1559" t="s">
        <v>8</v>
      </c>
      <c r="W17" s="1560">
        <f t="shared" si="2"/>
        <v>100</v>
      </c>
      <c r="X17" s="1553"/>
      <c r="Y17" s="3407"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408"/>
      <c r="Q18" s="1558"/>
      <c r="R18" s="1559"/>
      <c r="S18" s="1560"/>
      <c r="T18" s="1559"/>
      <c r="U18" s="1560"/>
      <c r="V18" s="1559"/>
      <c r="W18" s="1560"/>
      <c r="X18" s="1553"/>
      <c r="Y18" s="3408"/>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6"/>
      <c r="M22" s="2118"/>
      <c r="N22" s="2118"/>
      <c r="O22" s="2125"/>
      <c r="P22" s="3408"/>
      <c r="Q22" s="1558"/>
      <c r="R22" s="1559"/>
      <c r="S22" s="1560"/>
      <c r="T22" s="1559"/>
      <c r="U22" s="1560"/>
      <c r="V22" s="1559"/>
      <c r="W22" s="1560"/>
      <c r="X22" s="1553"/>
      <c r="Y22" s="3408"/>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408"/>
      <c r="Q24" s="1558"/>
      <c r="R24" s="1559"/>
      <c r="S24" s="1560"/>
      <c r="T24" s="1559"/>
      <c r="U24" s="1560"/>
      <c r="V24" s="1559"/>
      <c r="W24" s="1560"/>
      <c r="X24" s="1553"/>
      <c r="Y24" s="3408"/>
      <c r="Z24" s="1561"/>
      <c r="AA24" s="1562">
        <v>1</v>
      </c>
      <c r="AB24" s="1562">
        <v>1</v>
      </c>
      <c r="AC24" s="1562">
        <v>1</v>
      </c>
    </row>
    <row r="25" spans="1:29" s="1216"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8"/>
      <c r="Q25" s="1147" t="str">
        <f t="shared" si="8"/>
        <v>公共配套设施</v>
      </c>
      <c r="R25" s="1554" t="s">
        <v>8</v>
      </c>
      <c r="S25" s="1555">
        <f>F25</f>
        <v>100</v>
      </c>
      <c r="T25" s="1554" t="s">
        <v>8</v>
      </c>
      <c r="U25" s="1555">
        <f>H25</f>
        <v>100</v>
      </c>
      <c r="V25" s="1554" t="s">
        <v>8</v>
      </c>
      <c r="W25" s="1555">
        <f>J25</f>
        <v>100</v>
      </c>
      <c r="X25" s="1556"/>
      <c r="Y25" s="3408"/>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19"/>
      <c r="M26" s="2120"/>
      <c r="N26" s="2120"/>
      <c r="O26" s="2121"/>
      <c r="P26" s="3408"/>
      <c r="Q26" s="1147"/>
      <c r="R26" s="1554"/>
      <c r="S26" s="1555"/>
      <c r="T26" s="1554"/>
      <c r="U26" s="1555"/>
      <c r="V26" s="1554"/>
      <c r="W26" s="1555"/>
      <c r="X26" s="1556"/>
      <c r="Y26" s="3408"/>
      <c r="Z26" s="1146"/>
      <c r="AA26" s="1557">
        <v>1</v>
      </c>
      <c r="AB26" s="1557">
        <v>1</v>
      </c>
      <c r="AC26" s="1557">
        <v>1</v>
      </c>
    </row>
    <row r="27" spans="1:29" s="1216"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8"/>
      <c r="Q27" s="2541" t="str">
        <f t="shared" ref="Q27" si="9">B27</f>
        <v>基础设施水平</v>
      </c>
      <c r="R27" s="1554" t="s">
        <v>8</v>
      </c>
      <c r="S27" s="1555">
        <f>F27</f>
        <v>100</v>
      </c>
      <c r="T27" s="1554" t="s">
        <v>8</v>
      </c>
      <c r="U27" s="1555">
        <f>H27</f>
        <v>100</v>
      </c>
      <c r="V27" s="1554" t="s">
        <v>8</v>
      </c>
      <c r="W27" s="1555">
        <f>J27</f>
        <v>100</v>
      </c>
      <c r="X27" s="1556"/>
      <c r="Y27" s="3408"/>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19"/>
      <c r="M28" s="2120"/>
      <c r="N28" s="2120"/>
      <c r="O28" s="2121"/>
      <c r="P28" s="3408"/>
      <c r="Q28" s="2541"/>
      <c r="R28" s="1554"/>
      <c r="S28" s="1555"/>
      <c r="T28" s="1554"/>
      <c r="U28" s="1555"/>
      <c r="V28" s="1554"/>
      <c r="W28" s="1555"/>
      <c r="X28" s="1556"/>
      <c r="Y28" s="3408"/>
      <c r="Z28" s="2538"/>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408"/>
      <c r="Q31" s="1558"/>
      <c r="R31" s="1559"/>
      <c r="S31" s="1560"/>
      <c r="T31" s="1559"/>
      <c r="U31" s="1560"/>
      <c r="V31" s="1559"/>
      <c r="W31" s="1560"/>
      <c r="X31" s="1553"/>
      <c r="Y31" s="3408"/>
      <c r="Z31" s="1561"/>
      <c r="AA31" s="1562">
        <v>1</v>
      </c>
      <c r="AB31" s="1562">
        <v>1</v>
      </c>
      <c r="AC31" s="1562">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9" t="s">
        <v>549</v>
      </c>
      <c r="Q34" s="1558">
        <f t="shared" si="8"/>
        <v>111</v>
      </c>
      <c r="R34" s="1559" t="s">
        <v>8</v>
      </c>
      <c r="S34" s="1560">
        <f t="shared" si="10"/>
        <v>100</v>
      </c>
      <c r="T34" s="1559" t="s">
        <v>8</v>
      </c>
      <c r="U34" s="1560">
        <f t="shared" si="11"/>
        <v>100</v>
      </c>
      <c r="V34" s="1559" t="s">
        <v>8</v>
      </c>
      <c r="W34" s="1560">
        <f t="shared" si="12"/>
        <v>100</v>
      </c>
      <c r="X34" s="1553"/>
      <c r="Y34" s="3410" t="s">
        <v>549</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1"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t="s">
        <v>600</v>
      </c>
      <c r="Q39" s="1558" t="str">
        <f t="shared" si="14"/>
        <v>工程地质条件</v>
      </c>
      <c r="R39" s="1559" t="s">
        <v>8</v>
      </c>
      <c r="S39" s="1560">
        <f t="shared" si="10"/>
        <v>100</v>
      </c>
      <c r="T39" s="1559" t="s">
        <v>8</v>
      </c>
      <c r="U39" s="1560">
        <f t="shared" si="11"/>
        <v>100</v>
      </c>
      <c r="V39" s="1559" t="s">
        <v>8</v>
      </c>
      <c r="W39" s="1560">
        <f t="shared" si="12"/>
        <v>100</v>
      </c>
      <c r="X39" s="1553"/>
      <c r="Y39" s="3410"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5">
      <c r="A43" s="607" t="s">
        <v>555</v>
      </c>
      <c r="B43" s="608" t="s">
        <v>2928</v>
      </c>
      <c r="C43" s="609" t="s">
        <v>1</v>
      </c>
      <c r="D43" s="610"/>
      <c r="E43" s="611"/>
      <c r="F43" s="612"/>
      <c r="G43" s="613"/>
      <c r="H43" s="614"/>
      <c r="I43" s="611"/>
      <c r="J43" s="614"/>
      <c r="K43" s="1336"/>
      <c r="L43" s="2128"/>
      <c r="M43" s="2118"/>
      <c r="N43" s="2118"/>
      <c r="O43" s="2129"/>
      <c r="P43" s="3372" t="str">
        <f>A43</f>
        <v>成交单价</v>
      </c>
      <c r="Q43" s="3372"/>
      <c r="R43" s="3373">
        <f>E43</f>
        <v>0</v>
      </c>
      <c r="S43" s="3373"/>
      <c r="T43" s="3373">
        <f>G43</f>
        <v>0</v>
      </c>
      <c r="U43" s="3373"/>
      <c r="V43" s="3373">
        <f>I43</f>
        <v>0</v>
      </c>
      <c r="W43" s="3373"/>
      <c r="X43" s="1545"/>
      <c r="Y43" s="1567"/>
      <c r="Z43" s="1545"/>
      <c r="AA43" s="1545"/>
      <c r="AB43" s="1545"/>
      <c r="AC43" s="1545"/>
    </row>
    <row r="44" spans="1:29" ht="15.75" thickBot="1">
      <c r="A44" s="615" t="s">
        <v>2688</v>
      </c>
      <c r="B44" s="616"/>
      <c r="C44" s="617" t="e">
        <f>R45</f>
        <v>#DIV/0!</v>
      </c>
      <c r="D44" s="618"/>
      <c r="E44" s="617" t="e">
        <f>R44</f>
        <v>#DIV/0!</v>
      </c>
      <c r="F44" s="619"/>
      <c r="G44" s="620" t="e">
        <f>T44</f>
        <v>#DIV/0!</v>
      </c>
      <c r="H44" s="618"/>
      <c r="I44" s="617" t="e">
        <f>V44</f>
        <v>#DIV/0!</v>
      </c>
      <c r="J44" s="618"/>
      <c r="K44" s="1337"/>
      <c r="L44" s="2128"/>
      <c r="M44" s="2118"/>
      <c r="N44" s="2118"/>
      <c r="O44" s="2129"/>
      <c r="P44" s="3372" t="str">
        <f>A44</f>
        <v>比较价格（元/平方米）</v>
      </c>
      <c r="Q44" s="3372"/>
      <c r="R44" s="3374" t="e">
        <f>ROUND(PRODUCT(R43,AA9:AA42),0)</f>
        <v>#DIV/0!</v>
      </c>
      <c r="S44" s="3374"/>
      <c r="T44" s="3374" t="e">
        <f>ROUND(PRODUCT(T43,AB9:AB42),0)</f>
        <v>#DIV/0!</v>
      </c>
      <c r="U44" s="3374"/>
      <c r="V44" s="3374" t="e">
        <f>ROUND(PRODUCT(V43,AC9:AC42),0)</f>
        <v>#DIV/0!</v>
      </c>
      <c r="W44" s="3374"/>
      <c r="X44" s="1545"/>
      <c r="Y44" s="1545"/>
      <c r="Z44" s="1545"/>
      <c r="AA44" s="1545"/>
      <c r="AB44" s="1545"/>
      <c r="AC44" s="1545"/>
    </row>
    <row r="45" spans="1:29" ht="15.75" thickBot="1">
      <c r="A45" s="621" t="s">
        <v>2929</v>
      </c>
      <c r="B45" s="622"/>
      <c r="C45" s="623" t="e">
        <f>R45</f>
        <v>#DIV/0!</v>
      </c>
      <c r="D45" s="623"/>
      <c r="E45" s="623"/>
      <c r="F45" s="623"/>
      <c r="G45" s="623"/>
      <c r="H45" s="623"/>
      <c r="I45" s="623"/>
      <c r="J45" s="623"/>
      <c r="K45" s="1338"/>
      <c r="L45" s="2128"/>
      <c r="M45" s="2118"/>
      <c r="N45" s="2118"/>
      <c r="O45" s="2129"/>
      <c r="P45" s="3369" t="str">
        <f>A45</f>
        <v>估价对象XX用房的比较价格（楼面单价，元/平方米）</v>
      </c>
      <c r="Q45" s="3370"/>
      <c r="R45" s="3371" t="e">
        <f>ROUND(AVERAGE(R44:V44),0)</f>
        <v>#DIV/0!</v>
      </c>
      <c r="S45" s="3371"/>
      <c r="T45" s="3371"/>
      <c r="U45" s="3371"/>
      <c r="V45" s="3371"/>
      <c r="W45" s="3371"/>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6" t="s">
        <v>1723</v>
      </c>
      <c r="D52" s="2211" t="s">
        <v>2291</v>
      </c>
      <c r="E52" s="631" t="s">
        <v>561</v>
      </c>
      <c r="F52" s="1935" t="s">
        <v>562</v>
      </c>
      <c r="G52" s="3418" t="s">
        <v>2282</v>
      </c>
      <c r="H52" s="3419"/>
      <c r="I52" s="1936" t="s">
        <v>1944</v>
      </c>
      <c r="J52" s="1541" t="str">
        <f>项目基本情况!F41</f>
        <v>山东省</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563</v>
      </c>
      <c r="B53" s="634" t="e">
        <f>C45</f>
        <v>#DIV/0!</v>
      </c>
      <c r="C53" s="635">
        <v>1</v>
      </c>
      <c r="D53" s="2212">
        <v>1</v>
      </c>
      <c r="E53" s="635">
        <f>'数据-汇总表'!E8+'数据-汇总表'!E9</f>
        <v>57552.46</v>
      </c>
      <c r="F53" s="1934" t="e">
        <f t="shared" ref="F53:F62" si="15">ROUND(B53*E53/10000,0)</f>
        <v>#DIV/0!</v>
      </c>
      <c r="G53" s="3420"/>
      <c r="H53" s="3421"/>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564</v>
      </c>
      <c r="B54" s="638" t="e">
        <f>ROUND($C$45*C54*D54,0)</f>
        <v>#DIV/0!</v>
      </c>
      <c r="C54" s="378">
        <f t="shared" ref="C54:C62" si="16">IF($C$52="北京市系数",I54,J54)</f>
        <v>0</v>
      </c>
      <c r="D54" s="2213">
        <v>0.25</v>
      </c>
      <c r="E54" s="639"/>
      <c r="F54" s="1934" t="e">
        <f t="shared" si="15"/>
        <v>#DIV/0!</v>
      </c>
      <c r="G54" s="3422" t="s">
        <v>2283</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565</v>
      </c>
      <c r="B55" s="638" t="e">
        <f t="shared" ref="B55:B62" si="17">ROUND($C$45*C55*D55,0)</f>
        <v>#DIV/0!</v>
      </c>
      <c r="C55" s="378">
        <f t="shared" si="16"/>
        <v>0</v>
      </c>
      <c r="D55" s="2213">
        <v>0.25</v>
      </c>
      <c r="E55" s="639"/>
      <c r="F55" s="1934" t="e">
        <f t="shared" si="15"/>
        <v>#DIV/0!</v>
      </c>
      <c r="G55" s="3422"/>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566</v>
      </c>
      <c r="B56" s="638" t="e">
        <f t="shared" si="17"/>
        <v>#DIV/0!</v>
      </c>
      <c r="C56" s="378">
        <f t="shared" si="16"/>
        <v>0</v>
      </c>
      <c r="D56" s="2213">
        <v>0.25</v>
      </c>
      <c r="E56" s="639"/>
      <c r="F56" s="1934" t="e">
        <f t="shared" si="15"/>
        <v>#DIV/0!</v>
      </c>
      <c r="G56" s="3422"/>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567</v>
      </c>
      <c r="B57" s="638" t="e">
        <f t="shared" si="17"/>
        <v>#DIV/0!</v>
      </c>
      <c r="C57" s="378">
        <f t="shared" si="16"/>
        <v>0</v>
      </c>
      <c r="D57" s="2213">
        <v>0.25</v>
      </c>
      <c r="E57" s="639"/>
      <c r="F57" s="1934" t="e">
        <f t="shared" si="15"/>
        <v>#DIV/0!</v>
      </c>
      <c r="G57" s="3422"/>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570</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571</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572</v>
      </c>
      <c r="B63" s="643" t="s">
        <v>17</v>
      </c>
      <c r="C63" s="643" t="s">
        <v>18</v>
      </c>
      <c r="D63" s="643" t="s">
        <v>2292</v>
      </c>
      <c r="E63" s="643">
        <f>IF(B43="楼面地价",SUM(E53:E62),'数据-汇总表'!D3)</f>
        <v>21485</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3" customFormat="1" ht="15">
      <c r="A67" s="2531" t="s">
        <v>2528</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2644</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2543</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2423</v>
      </c>
      <c r="D1" s="1508">
        <f>SUM(D29:D30,D33:D39)</f>
        <v>0</v>
      </c>
      <c r="E1" s="1402" t="s">
        <v>2424</v>
      </c>
      <c r="F1" s="2415"/>
      <c r="G1" s="1397"/>
      <c r="H1" s="1397"/>
      <c r="I1" s="1397"/>
      <c r="J1" s="1397"/>
      <c r="K1" s="1397"/>
      <c r="L1" s="1866" t="s">
        <v>2236</v>
      </c>
      <c r="M1" s="1867">
        <f>SUMPRODUCT((区片价!B5:B9=I2)*(区片价!C3:F3=E2)*(区片价!C5:F9))</f>
        <v>0</v>
      </c>
      <c r="N1" s="1868">
        <f>SUMPRODUCT((因素修正幅度!B5:B9=I2)*(因素修正幅度!C3:F3=E2)*(因素修正幅度!C5:F9))</f>
        <v>0</v>
      </c>
      <c r="O1" s="1397"/>
      <c r="P1" s="1397"/>
      <c r="Q1" s="2173"/>
      <c r="R1" s="2890" t="s">
        <v>2757</v>
      </c>
      <c r="S1" s="2890" t="s">
        <v>2758</v>
      </c>
      <c r="T1" s="2890" t="s">
        <v>2779</v>
      </c>
      <c r="U1" s="2890" t="s">
        <v>2780</v>
      </c>
      <c r="V1" s="2890" t="s">
        <v>2781</v>
      </c>
      <c r="W1" s="2173"/>
      <c r="X1" s="2173"/>
      <c r="Y1" s="2173"/>
      <c r="Z1" s="2173"/>
      <c r="AA1" s="2173"/>
      <c r="AB1" s="2173"/>
      <c r="AC1" s="2174"/>
    </row>
    <row r="2" spans="1:39" ht="15.75">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2237</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7" t="s">
        <v>1686</v>
      </c>
      <c r="B3" s="1038" t="e">
        <f>ROUND(B2*10000/D1,0)</f>
        <v>#DIV/0!</v>
      </c>
      <c r="C3" s="1403" t="s">
        <v>926</v>
      </c>
      <c r="D3" s="1404" t="s">
        <v>927</v>
      </c>
      <c r="E3" s="1408"/>
      <c r="F3" s="1409"/>
      <c r="G3" s="1039">
        <f>IF(F3="宗地容积率",'数据-汇总表'!I4,IF(F3="估价对象容积率",'数据-汇总表'!I6,'数据-汇总表'!I7))</f>
        <v>0</v>
      </c>
      <c r="H3" s="1410" t="s">
        <v>928</v>
      </c>
      <c r="I3" s="1040">
        <v>8</v>
      </c>
      <c r="J3" s="1406" t="s">
        <v>929</v>
      </c>
      <c r="K3" s="1406"/>
      <c r="L3" s="1869" t="s">
        <v>2238</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50"/>
      <c r="L4" s="1869" t="s">
        <v>2239</v>
      </c>
      <c r="M4" s="1870">
        <f>SUMPRODUCT((区片价!B49:B75=I2)*(区片价!C3:F3=E2)*(区片价!C49:F75))</f>
        <v>0</v>
      </c>
      <c r="N4" s="1871">
        <f>SUMPRODUCT((因素修正幅度!B49:B75=I2)*(因素修正幅度!C3:F3=E2)*(因素修正幅度!C49:F75))</f>
        <v>0</v>
      </c>
      <c r="O4" s="3150"/>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75" thickBot="1">
      <c r="A5" s="1623" t="s">
        <v>1822</v>
      </c>
      <c r="B5" s="1411" t="s">
        <v>930</v>
      </c>
      <c r="C5" s="1041" t="e">
        <f>ROUND(IF(E2="商业",C6*C7+C16,(IF(E2="住宅",C6*C12+C16,C6+C16))),0)</f>
        <v>#DIV/0!</v>
      </c>
      <c r="D5" s="3071" t="e">
        <f>ROUND(C6+C16,0)</f>
        <v>#DIV/0!</v>
      </c>
      <c r="E5" s="3071"/>
      <c r="F5" s="1412"/>
      <c r="G5" s="1413"/>
      <c r="H5" s="1413"/>
      <c r="I5" s="1413"/>
      <c r="J5" s="1414"/>
      <c r="K5" s="3151"/>
      <c r="L5" s="1869" t="s">
        <v>2240</v>
      </c>
      <c r="M5" s="1870">
        <f>SUMPRODUCT((区片价!B76:B109=I2)*(区片价!C3:F3=E2)*(区片价!C76:F109))</f>
        <v>0</v>
      </c>
      <c r="N5" s="1871">
        <f>SUMPRODUCT((因素修正幅度!B76:B109=I2)*(因素修正幅度!C3:F3=E2)*(因素修正幅度!C76:F109))</f>
        <v>0</v>
      </c>
      <c r="O5" s="3151"/>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1869</v>
      </c>
      <c r="B6" s="1418" t="s">
        <v>930</v>
      </c>
      <c r="C6" s="1042">
        <f>SUMIF(L1:L12,基准地价!G2,M1:M12)</f>
        <v>0</v>
      </c>
      <c r="D6" s="1419" t="s">
        <v>1694</v>
      </c>
      <c r="E6" s="1420"/>
      <c r="F6" s="1420"/>
      <c r="G6" s="1421"/>
      <c r="H6" s="1421"/>
      <c r="I6" s="1421"/>
      <c r="J6" s="1422"/>
      <c r="K6" s="1452"/>
      <c r="L6" s="1869" t="s">
        <v>2241</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34" t="str">
        <f>IF(E2="商业",IF(C8="不临58条商业街","",2),"")</f>
        <v/>
      </c>
      <c r="B7" s="1423" t="s">
        <v>931</v>
      </c>
      <c r="C7" s="1043" t="e">
        <f>IF(C8="不临58条商业街",1,ROUND(1+(1.6*E8+1.2*E9+0.8*E10+0.4*E11)*C9,4))</f>
        <v>#DIV/0!</v>
      </c>
      <c r="D7" s="1424" t="s">
        <v>932</v>
      </c>
      <c r="E7" s="1044"/>
      <c r="F7" s="1425"/>
      <c r="G7" s="1426"/>
      <c r="H7" s="1426"/>
      <c r="I7" s="1426"/>
      <c r="J7" s="1427"/>
      <c r="K7" s="1452"/>
      <c r="L7" s="1869" t="s">
        <v>2242</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2760</v>
      </c>
      <c r="X7" s="2881">
        <f>G2</f>
        <v>0</v>
      </c>
      <c r="Y7" s="2881" t="s">
        <v>2761</v>
      </c>
      <c r="Z7" s="2882">
        <f>G3</f>
        <v>0</v>
      </c>
      <c r="AA7" s="2176"/>
      <c r="AB7" s="2176"/>
      <c r="AC7" s="2177"/>
      <c r="AD7" s="2883"/>
      <c r="AE7" s="2883"/>
      <c r="AF7" s="2883"/>
      <c r="AG7" s="2883"/>
      <c r="AH7" s="2883"/>
      <c r="AI7" s="2883"/>
      <c r="AJ7" s="2884"/>
    </row>
    <row r="8" spans="1:39" ht="15">
      <c r="A8" s="3435"/>
      <c r="B8" s="1410" t="s">
        <v>933</v>
      </c>
      <c r="C8" s="1516"/>
      <c r="D8" s="1045" t="s">
        <v>934</v>
      </c>
      <c r="E8" s="1046" t="e">
        <f>ROUND(C11/E7,4)</f>
        <v>#DIV/0!</v>
      </c>
      <c r="F8" s="1428" t="s">
        <v>935</v>
      </c>
      <c r="G8" s="1429"/>
      <c r="H8" s="1429"/>
      <c r="I8" s="1429"/>
      <c r="J8" s="1430"/>
      <c r="K8" s="1452"/>
      <c r="L8" s="1869" t="s">
        <v>2243</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24" t="s">
        <v>2778</v>
      </c>
      <c r="X8" s="3425"/>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35"/>
      <c r="B9" s="1410" t="s">
        <v>936</v>
      </c>
      <c r="C9" s="1047">
        <f>SUMIF(修正!C59:C119,C8,修正!E59:E119)</f>
        <v>0</v>
      </c>
      <c r="D9" s="1048" t="s">
        <v>937</v>
      </c>
      <c r="E9" s="1048" t="e">
        <f>ROUND(C11/E7,4)</f>
        <v>#DIV/0!</v>
      </c>
      <c r="F9" s="1428" t="s">
        <v>938</v>
      </c>
      <c r="G9" s="1429"/>
      <c r="H9" s="1429"/>
      <c r="I9" s="1429"/>
      <c r="J9" s="1430"/>
      <c r="K9" s="1452"/>
      <c r="L9" s="1869" t="s">
        <v>2244</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23" t="s">
        <v>2774</v>
      </c>
      <c r="X9" s="2885" t="s">
        <v>2775</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5"/>
      <c r="B10" s="1410" t="s">
        <v>939</v>
      </c>
      <c r="C10" s="1048">
        <f>SUMIF(修正!C59:C119,C8,修正!F59:F119)</f>
        <v>0</v>
      </c>
      <c r="D10" s="1048" t="s">
        <v>940</v>
      </c>
      <c r="E10" s="1048" t="e">
        <f>ROUND(C11/E7,4)</f>
        <v>#DIV/0!</v>
      </c>
      <c r="F10" s="1428" t="s">
        <v>941</v>
      </c>
      <c r="G10" s="1429"/>
      <c r="H10" s="1429"/>
      <c r="I10" s="1429"/>
      <c r="J10" s="1430"/>
      <c r="K10" s="1452"/>
      <c r="L10" s="1869" t="s">
        <v>2245</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2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5"/>
      <c r="B11" s="1431" t="s">
        <v>942</v>
      </c>
      <c r="C11" s="1049">
        <f>C10/4</f>
        <v>0</v>
      </c>
      <c r="D11" s="1049" t="s">
        <v>943</v>
      </c>
      <c r="E11" s="1049" t="e">
        <f>ROUND(C11/E7,4)</f>
        <v>#DIV/0!</v>
      </c>
      <c r="F11" s="1432" t="s">
        <v>944</v>
      </c>
      <c r="G11" s="1433"/>
      <c r="H11" s="1433"/>
      <c r="I11" s="1433"/>
      <c r="J11" s="1434"/>
      <c r="K11" s="1452"/>
      <c r="L11" s="1869" t="s">
        <v>2246</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23" t="s">
        <v>2776</v>
      </c>
      <c r="X11" s="1048" t="s">
        <v>2761</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4" t="s">
        <v>1870</v>
      </c>
      <c r="B12" s="1435" t="s">
        <v>945</v>
      </c>
      <c r="C12" s="1043">
        <f>ROUND(C15*D15*E15*F15*G15*H15*I15*J15,4)</f>
        <v>1</v>
      </c>
      <c r="D12" s="1436" t="s">
        <v>946</v>
      </c>
      <c r="E12" s="1437"/>
      <c r="F12" s="1437"/>
      <c r="G12" s="1438"/>
      <c r="H12" s="1438"/>
      <c r="I12" s="1438"/>
      <c r="J12" s="1439"/>
      <c r="K12" s="1452"/>
      <c r="L12" s="1872" t="s">
        <v>2247</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23"/>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6"/>
      <c r="B13" s="1440" t="s">
        <v>1695</v>
      </c>
      <c r="C13" s="1441" t="s">
        <v>1696</v>
      </c>
      <c r="D13" s="1085" t="s">
        <v>1697</v>
      </c>
      <c r="E13" s="1085" t="s">
        <v>1698</v>
      </c>
      <c r="F13" s="1442" t="s">
        <v>947</v>
      </c>
      <c r="G13" s="1443" t="s">
        <v>1641</v>
      </c>
      <c r="H13" s="1444" t="s">
        <v>1641</v>
      </c>
      <c r="I13" s="1445" t="s">
        <v>1641</v>
      </c>
      <c r="J13" s="1446" t="s">
        <v>1641</v>
      </c>
      <c r="K13" s="3166"/>
      <c r="L13" s="3166"/>
      <c r="M13" s="3166"/>
      <c r="N13" s="3166"/>
      <c r="O13" s="3166"/>
      <c r="P13" s="1397"/>
      <c r="Q13" s="2173"/>
      <c r="R13" s="2891">
        <v>12</v>
      </c>
      <c r="S13" s="2880"/>
      <c r="T13" s="2891" t="e">
        <f t="shared" si="0"/>
        <v>#DIV/0!</v>
      </c>
      <c r="U13" s="2880"/>
      <c r="V13" s="2891" t="e">
        <f t="shared" si="1"/>
        <v>#DIV/0!</v>
      </c>
      <c r="W13" s="3423"/>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6"/>
      <c r="B14" s="1447"/>
      <c r="C14" s="1448"/>
      <c r="D14" s="1449"/>
      <c r="E14" s="1449"/>
      <c r="F14" s="1450"/>
      <c r="G14" s="1451" t="s">
        <v>948</v>
      </c>
      <c r="H14" s="1452"/>
      <c r="I14" s="1453"/>
      <c r="J14" s="1454"/>
      <c r="K14" s="3152"/>
      <c r="L14" s="3152"/>
      <c r="M14" s="3152"/>
      <c r="N14" s="3152"/>
      <c r="O14" s="3152"/>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7"/>
      <c r="B15" s="3171" t="s">
        <v>1699</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4" t="s">
        <v>1837</v>
      </c>
      <c r="B16" s="1423" t="s">
        <v>949</v>
      </c>
      <c r="C16" s="1052" t="e">
        <f>ROUND(IF(F17="与级别开发程度一致",0,(G17-E17)/C17),0)</f>
        <v>#DIV/0!</v>
      </c>
      <c r="D16" s="3431" t="s">
        <v>953</v>
      </c>
      <c r="E16" s="3432"/>
      <c r="F16" s="3431" t="s">
        <v>950</v>
      </c>
      <c r="G16" s="3432"/>
      <c r="H16" s="1455"/>
      <c r="I16" s="1455"/>
      <c r="J16" s="1455"/>
      <c r="K16" s="1455"/>
      <c r="L16" s="1455"/>
      <c r="M16" s="1455"/>
      <c r="N16" s="1455"/>
      <c r="O16" s="3176"/>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8"/>
      <c r="B17" s="3177" t="s">
        <v>952</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1828</v>
      </c>
      <c r="B18" s="3172" t="s">
        <v>954</v>
      </c>
      <c r="C18" s="3173">
        <f>SUMIF(修正!C18:C39,E3,修正!E18:E39)</f>
        <v>0</v>
      </c>
      <c r="D18" s="3174"/>
      <c r="E18" s="3175"/>
      <c r="F18" s="3157"/>
      <c r="G18" s="3151"/>
      <c r="H18" s="3151"/>
      <c r="I18" s="3151"/>
      <c r="J18" s="3165"/>
      <c r="K18" s="3151"/>
      <c r="L18" s="3151"/>
      <c r="M18" s="3151"/>
      <c r="N18" s="3151"/>
      <c r="O18" s="3151"/>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1834</v>
      </c>
      <c r="B19" s="1458" t="s">
        <v>955</v>
      </c>
      <c r="C19" s="1053" t="e">
        <f>ROUND(IF(H19="按公示增长率计算",SUMPRODUCT((地价!A3:A26=YEAR(G19)&amp;"-"&amp;ROUNDUP(MONTH(G19)/3,0))*(地价!X2:AB2=E2)*(地价!X3:AB26)),IF(H19="地价指数",M20/M19,(1+I19)^O19)),4)</f>
        <v>#VALUE!</v>
      </c>
      <c r="D19" s="1462" t="s">
        <v>956</v>
      </c>
      <c r="E19" s="1054">
        <v>41640</v>
      </c>
      <c r="F19" s="1462" t="s">
        <v>957</v>
      </c>
      <c r="G19" s="1055">
        <f>'数据-取费表'!B2</f>
        <v>43651</v>
      </c>
      <c r="H19" s="1463"/>
      <c r="I19" s="2739" t="str">
        <f>IF(H19="季度增幅（自定义）",SUMIF(N21:N24,E2,O21:O24),"")</f>
        <v/>
      </c>
      <c r="J19" s="1459"/>
      <c r="K19" s="3151"/>
      <c r="L19" s="2991" t="s">
        <v>2836</v>
      </c>
      <c r="M19" s="2992">
        <f>ROUND(SUMIF(地价!B2:F2,E2,地价!B26:F26),0)</f>
        <v>0</v>
      </c>
      <c r="N19" s="2741" t="s">
        <v>1675</v>
      </c>
      <c r="O19" s="2740">
        <f>ROUNDDOWN(DATEDIF(E19,G19,"M")/3,0)</f>
        <v>22</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3"/>
      <c r="L20" s="2993" t="s">
        <v>2837</v>
      </c>
      <c r="M20" s="3160">
        <f>ROUND(SUMPRODUCT((地价!A4:A26=YEAR(G19)&amp;"-"&amp;ROUNDUP(MONTH(G19)/3,0))*(地价!B2:F2=E2)*(地价!B4:F26)),0)</f>
        <v>0</v>
      </c>
      <c r="N20" s="2744" t="s">
        <v>2640</v>
      </c>
      <c r="O20" s="2742" t="s">
        <v>2639</v>
      </c>
      <c r="P20" s="2743" t="s">
        <v>2645</v>
      </c>
      <c r="Q20" s="2879"/>
      <c r="R20" s="2179"/>
      <c r="S20" s="2179"/>
      <c r="T20" s="2179"/>
      <c r="U20" s="2179"/>
      <c r="V20" s="2179"/>
      <c r="W20" s="2179"/>
      <c r="X20" s="2179"/>
      <c r="Y20" s="1460"/>
      <c r="Z20" s="1460"/>
      <c r="AA20" s="1460"/>
      <c r="AB20" s="1460"/>
      <c r="AC20" s="1460"/>
      <c r="AD20" s="1460"/>
    </row>
    <row r="21" spans="1:40" s="1417" customFormat="1" ht="14.25">
      <c r="A21" s="1627" t="s">
        <v>1836</v>
      </c>
      <c r="B21" s="1468" t="s">
        <v>2756</v>
      </c>
      <c r="C21" s="1154">
        <f>IF(B21="容积率修正",IF(G3&lt;=10,D22,J22),C23)</f>
        <v>0</v>
      </c>
      <c r="D21" s="1469"/>
      <c r="E21" s="1469"/>
      <c r="F21" s="1469"/>
      <c r="G21" s="1469"/>
      <c r="H21" s="1469"/>
      <c r="I21" s="1469"/>
      <c r="J21" s="1470"/>
      <c r="K21" s="3151"/>
      <c r="L21" s="1469"/>
      <c r="M21" s="1469"/>
      <c r="N21" s="1466" t="s">
        <v>974</v>
      </c>
      <c r="O21" s="1529"/>
      <c r="P21" s="2731">
        <f>SUMPRODUCT((地价!A3:A26=YEAR(G19)&amp;"-"&amp;ROUNDUP(MONTH(G19)/3,0))*(地价!AD2:AH2=N21)*(地价!AD3:AH26))</f>
        <v>0</v>
      </c>
      <c r="Q21" s="2879"/>
      <c r="R21" s="2179"/>
      <c r="S21" s="2179"/>
      <c r="T21" s="2179"/>
      <c r="U21" s="2179"/>
      <c r="V21" s="2179"/>
      <c r="W21" s="2179"/>
      <c r="X21" s="2179"/>
      <c r="Y21" s="1399"/>
      <c r="Z21" s="1399"/>
      <c r="AA21" s="1399"/>
      <c r="AB21" s="1399"/>
      <c r="AC21" s="1460"/>
      <c r="AD21" s="1460"/>
    </row>
    <row r="22" spans="1:40" s="1417" customFormat="1" ht="14.25">
      <c r="A22" s="1628" t="s">
        <v>1869</v>
      </c>
      <c r="B22" s="1471"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4"/>
      <c r="L22" s="1469"/>
      <c r="M22" s="1469"/>
      <c r="N22" s="1466" t="s">
        <v>977</v>
      </c>
      <c r="O22" s="1529"/>
      <c r="P22" s="2731">
        <f>SUMPRODUCT((地价!A3:A26=YEAR(G19)&amp;"-"&amp;ROUNDUP(MONTH(G19)/3,0))*(地价!AD2:AH2=N22)*(地价!AD3:AH26))</f>
        <v>0</v>
      </c>
      <c r="Q22" s="2879"/>
      <c r="R22" s="2179"/>
      <c r="S22" s="2179"/>
      <c r="T22" s="2179"/>
      <c r="U22" s="2179"/>
      <c r="V22" s="2179"/>
      <c r="W22" s="2179"/>
      <c r="X22" s="2179"/>
      <c r="Y22" s="1460"/>
      <c r="Z22" s="1460"/>
      <c r="AA22" s="1460"/>
      <c r="AB22" s="1460"/>
      <c r="AC22" s="1460"/>
      <c r="AD22" s="1460"/>
    </row>
    <row r="23" spans="1:40" ht="15.75"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5"/>
      <c r="L23" s="1397"/>
      <c r="M23" s="1397"/>
      <c r="N23" s="1466" t="s">
        <v>922</v>
      </c>
      <c r="O23" s="1529"/>
      <c r="P23" s="2731">
        <f>SUMPRODUCT((地价!A3:A26=YEAR(G19)&amp;"-"&amp;ROUNDUP(MONTH(G19)/3,0))*(地价!AD2:AH2=N23)*(地价!AD3:AH26))</f>
        <v>0</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8">
        <f>SUMIF(A44:A87,E2,B44:B87)</f>
        <v>0</v>
      </c>
      <c r="D24" s="1522"/>
      <c r="E24" s="1523"/>
      <c r="F24" s="1523"/>
      <c r="G24" s="1523"/>
      <c r="H24" s="1523"/>
      <c r="I24" s="1523"/>
      <c r="J24" s="1523"/>
      <c r="K24" s="3155"/>
      <c r="L24" s="1469"/>
      <c r="M24" s="1469"/>
      <c r="N24" s="1466" t="s">
        <v>980</v>
      </c>
      <c r="O24" s="3159"/>
      <c r="P24" s="2731">
        <f>SUMPRODUCT((地价!A3:A26=YEAR(G19)&amp;"-"&amp;ROUNDUP(MONTH(G19)/3,0))*(地价!AD2:AH2=N24)*(地价!AD3:AH26))</f>
        <v>0</v>
      </c>
      <c r="Q24" s="2879"/>
      <c r="R24" s="2179"/>
      <c r="S24" s="2179"/>
      <c r="T24" s="2179"/>
      <c r="U24" s="2179"/>
      <c r="V24" s="2179"/>
      <c r="W24" s="2179"/>
      <c r="X24" s="2179"/>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79"/>
      <c r="M25" s="2179"/>
      <c r="N25" s="3161" t="s">
        <v>2643</v>
      </c>
      <c r="O25" s="3162"/>
      <c r="P25" s="2410">
        <f>SUMPRODUCT((地价!A3:A26=YEAR(G19)&amp;"-"&amp;ROUNDUP(MONTH(G19)/3,0))*(地价!AD2:AH2=N25)*(地价!AD3:AH26))</f>
        <v>0</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992</v>
      </c>
      <c r="C29" s="1059" t="e">
        <f>ROUND(C5*C18*C19*C20*C21*C24,0)</f>
        <v>#DIV/0!</v>
      </c>
      <c r="D29" s="1491"/>
      <c r="E29" s="1833" t="e">
        <f>ROUND(C29*D29/10000,0)</f>
        <v>#DIV/0!</v>
      </c>
      <c r="F29" s="1492" t="s">
        <v>1700</v>
      </c>
      <c r="G29" s="1493"/>
      <c r="H29" s="1493"/>
      <c r="I29" s="1493"/>
      <c r="J29" s="1494"/>
      <c r="K29" s="3156"/>
      <c r="L29" s="3156"/>
      <c r="M29" s="3156"/>
      <c r="N29" s="3156"/>
      <c r="O29" s="3156"/>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993</v>
      </c>
      <c r="C30" s="1051"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7"/>
      <c r="L32" s="3157"/>
      <c r="M32" s="3157"/>
      <c r="N32" s="3157"/>
      <c r="O32" s="3157"/>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41" t="s">
        <v>2954</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8"/>
      <c r="L33" s="3158"/>
      <c r="M33" s="3158"/>
      <c r="N33" s="3158"/>
      <c r="O33" s="3158"/>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42"/>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8"/>
      <c r="L34" s="3158"/>
      <c r="M34" s="3158"/>
      <c r="N34" s="3158"/>
      <c r="O34" s="3158"/>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42"/>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8"/>
      <c r="L35" s="3158"/>
      <c r="M35" s="3158"/>
      <c r="N35" s="3158"/>
      <c r="O35" s="3158"/>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43"/>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8"/>
      <c r="L36" s="3158"/>
      <c r="M36" s="3158"/>
      <c r="N36" s="3158"/>
      <c r="O36" s="3158"/>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7" t="s">
        <v>2981</v>
      </c>
      <c r="C41" s="839" t="e">
        <f>ROUND(POWER(1+E41,H41-G41)*(POWER(1+E41,G41)-1)/(POWER(1+E41,H41)-1),4)</f>
        <v>#DIV/0!</v>
      </c>
      <c r="D41" s="378" t="s">
        <v>2979</v>
      </c>
      <c r="E41" s="3146">
        <f>G20</f>
        <v>0</v>
      </c>
      <c r="F41" s="378" t="s">
        <v>2980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3" t="s">
        <v>1007</v>
      </c>
      <c r="B46" s="2371" t="s">
        <v>1008</v>
      </c>
      <c r="C46" s="2393" t="s">
        <v>1009</v>
      </c>
      <c r="D46" s="2394" t="s">
        <v>1010</v>
      </c>
      <c r="E46" s="2395" t="s">
        <v>1012</v>
      </c>
      <c r="F46" s="2396" t="s">
        <v>2248</v>
      </c>
      <c r="G46" s="2394" t="s">
        <v>1013</v>
      </c>
      <c r="H46" s="2377" t="s">
        <v>2415</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3" t="s">
        <v>1022</v>
      </c>
      <c r="B50" s="3048" t="s">
        <v>2931</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3" t="s">
        <v>1024</v>
      </c>
      <c r="B52" s="3047" t="s">
        <v>2930</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3" t="s">
        <v>1007</v>
      </c>
      <c r="B57" s="2371"/>
      <c r="C57" s="2393" t="s">
        <v>1009</v>
      </c>
      <c r="D57" s="2394" t="s">
        <v>1010</v>
      </c>
      <c r="E57" s="2395" t="s">
        <v>1012</v>
      </c>
      <c r="F57" s="2396" t="s">
        <v>2249</v>
      </c>
      <c r="G57" s="2394" t="s">
        <v>1013</v>
      </c>
      <c r="H57" s="2377" t="s">
        <v>2415</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3" t="s">
        <v>1022</v>
      </c>
      <c r="B61" s="3048" t="s">
        <v>2932</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3" t="s">
        <v>1024</v>
      </c>
      <c r="B63" s="3047" t="s">
        <v>2930</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3" t="s">
        <v>1007</v>
      </c>
      <c r="B68" s="2371"/>
      <c r="C68" s="2393" t="s">
        <v>1009</v>
      </c>
      <c r="D68" s="2394" t="s">
        <v>1010</v>
      </c>
      <c r="E68" s="2395" t="s">
        <v>1012</v>
      </c>
      <c r="F68" s="2396" t="s">
        <v>2250</v>
      </c>
      <c r="G68" s="2394" t="s">
        <v>1013</v>
      </c>
      <c r="H68" s="2377" t="s">
        <v>2415</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3" t="s">
        <v>1024</v>
      </c>
      <c r="B75" s="3047" t="s">
        <v>2930</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1007</v>
      </c>
      <c r="B79" s="2371"/>
      <c r="C79" s="2393" t="s">
        <v>1009</v>
      </c>
      <c r="D79" s="2394" t="s">
        <v>1010</v>
      </c>
      <c r="E79" s="2395" t="s">
        <v>1012</v>
      </c>
      <c r="F79" s="2396" t="s">
        <v>2251</v>
      </c>
      <c r="G79" s="2394" t="s">
        <v>1013</v>
      </c>
      <c r="H79" s="2377" t="s">
        <v>2415</v>
      </c>
      <c r="I79" s="2394" t="s">
        <v>1011</v>
      </c>
      <c r="J79" s="2397" t="s">
        <v>1014</v>
      </c>
      <c r="K79" s="2397" t="s">
        <v>1015</v>
      </c>
      <c r="L79" s="2397" t="s">
        <v>1016</v>
      </c>
      <c r="M79" s="2397" t="s">
        <v>1017</v>
      </c>
      <c r="N79" s="2397" t="s">
        <v>1018</v>
      </c>
      <c r="AC79" s="1401"/>
      <c r="AD79" s="1400"/>
      <c r="AJ79" s="1399"/>
      <c r="AN79" s="1400"/>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1024</v>
      </c>
      <c r="B86" s="3047" t="s">
        <v>2930</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9" t="s">
        <v>1632</v>
      </c>
      <c r="B90" s="3439"/>
      <c r="C90" s="3439"/>
      <c r="D90" s="3439"/>
      <c r="E90" s="3439"/>
      <c r="F90" s="3439"/>
      <c r="G90" s="3439"/>
      <c r="H90" s="3439"/>
      <c r="I90" s="3439"/>
      <c r="J90" s="3439"/>
      <c r="K90" s="2413"/>
      <c r="L90" s="2413"/>
      <c r="M90" s="2413"/>
      <c r="N90" s="2413"/>
    </row>
    <row r="91" spans="1:40">
      <c r="A91" s="3440" t="s">
        <v>1442</v>
      </c>
      <c r="B91" s="3440" t="s">
        <v>1633</v>
      </c>
      <c r="C91" s="1136" t="s">
        <v>1634</v>
      </c>
      <c r="D91" s="1137"/>
      <c r="E91" s="1137"/>
      <c r="F91" s="1137"/>
      <c r="G91" s="1137"/>
      <c r="H91" s="1137"/>
      <c r="I91" s="1137"/>
      <c r="J91" s="1138"/>
      <c r="K91" s="1130"/>
      <c r="L91" s="1130"/>
      <c r="M91" s="1130"/>
      <c r="N91" s="1130"/>
    </row>
    <row r="92" spans="1:40">
      <c r="A92" s="3440"/>
      <c r="B92" s="3440"/>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26"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7"/>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6"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7"/>
      <c r="B108" s="3429"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8"/>
      <c r="B109" s="343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33" t="s">
        <v>1638</v>
      </c>
      <c r="B110" s="3433"/>
      <c r="C110" s="3433"/>
      <c r="D110" s="3433"/>
      <c r="E110" s="3433"/>
      <c r="F110" s="3433"/>
      <c r="G110" s="3433"/>
      <c r="H110" s="3433"/>
      <c r="I110" s="3433"/>
      <c r="J110" s="3433"/>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2984</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40" t="s">
        <v>1006</v>
      </c>
      <c r="B18" s="1150" t="s">
        <v>1445</v>
      </c>
      <c r="C18" s="1127" t="s">
        <v>1446</v>
      </c>
      <c r="D18" s="1128"/>
      <c r="E18" s="1150">
        <v>1</v>
      </c>
      <c r="F18" s="1129" t="s">
        <v>1447</v>
      </c>
      <c r="G18" s="1130"/>
      <c r="H18" s="1101"/>
      <c r="I18" s="1101"/>
    </row>
    <row r="19" spans="1:9" s="1584" customFormat="1" ht="19.5" customHeight="1">
      <c r="A19" s="3440"/>
      <c r="B19" s="3440" t="s">
        <v>1448</v>
      </c>
      <c r="C19" s="1127" t="s">
        <v>1449</v>
      </c>
      <c r="D19" s="1128"/>
      <c r="E19" s="1150">
        <v>0.9</v>
      </c>
      <c r="F19" s="1129" t="s">
        <v>1450</v>
      </c>
      <c r="G19" s="1130"/>
      <c r="H19" s="1101"/>
      <c r="I19" s="1101"/>
    </row>
    <row r="20" spans="1:9" s="1584" customFormat="1" ht="19.5" customHeight="1">
      <c r="A20" s="3440"/>
      <c r="B20" s="3440"/>
      <c r="C20" s="1127" t="s">
        <v>1451</v>
      </c>
      <c r="D20" s="1128"/>
      <c r="E20" s="1150">
        <v>1.1000000000000001</v>
      </c>
      <c r="F20" s="1129" t="s">
        <v>1452</v>
      </c>
      <c r="G20" s="1130"/>
      <c r="H20" s="1101"/>
      <c r="I20" s="1101"/>
    </row>
    <row r="21" spans="1:9" s="1584" customFormat="1" ht="19.5" customHeight="1">
      <c r="A21" s="3440"/>
      <c r="B21" s="3440"/>
      <c r="C21" s="1127" t="s">
        <v>1453</v>
      </c>
      <c r="D21" s="1128"/>
      <c r="E21" s="1150">
        <v>0.8</v>
      </c>
      <c r="F21" s="1129" t="s">
        <v>1454</v>
      </c>
      <c r="G21" s="1130"/>
      <c r="H21" s="1101"/>
      <c r="I21" s="1101"/>
    </row>
    <row r="22" spans="1:9" s="1584" customFormat="1" ht="19.5" customHeight="1">
      <c r="A22" s="3440"/>
      <c r="B22" s="3440"/>
      <c r="C22" s="1127" t="s">
        <v>1455</v>
      </c>
      <c r="D22" s="1128"/>
      <c r="E22" s="1150">
        <v>0.5</v>
      </c>
      <c r="F22" s="1129"/>
      <c r="G22" s="1130"/>
      <c r="H22" s="1101"/>
      <c r="I22" s="1101"/>
    </row>
    <row r="23" spans="1:9" s="1584" customFormat="1" ht="19.5" customHeight="1">
      <c r="A23" s="3440" t="s">
        <v>1028</v>
      </c>
      <c r="B23" s="1150" t="s">
        <v>1445</v>
      </c>
      <c r="C23" s="1127" t="s">
        <v>1456</v>
      </c>
      <c r="D23" s="1128"/>
      <c r="E23" s="1150">
        <v>1</v>
      </c>
      <c r="F23" s="1129" t="s">
        <v>1457</v>
      </c>
      <c r="G23" s="1130"/>
      <c r="H23" s="1101"/>
      <c r="I23" s="1101"/>
    </row>
    <row r="24" spans="1:9" s="1584" customFormat="1" ht="19.5" customHeight="1">
      <c r="A24" s="3440"/>
      <c r="B24" s="3440" t="s">
        <v>1448</v>
      </c>
      <c r="C24" s="1127" t="s">
        <v>1458</v>
      </c>
      <c r="D24" s="1128"/>
      <c r="E24" s="1150">
        <v>0.5</v>
      </c>
      <c r="F24" s="1129"/>
      <c r="G24" s="1130"/>
      <c r="H24" s="1101"/>
      <c r="I24" s="1101"/>
    </row>
    <row r="25" spans="1:9" s="1584" customFormat="1" ht="19.5" customHeight="1">
      <c r="A25" s="3440"/>
      <c r="B25" s="3440"/>
      <c r="C25" s="1127" t="s">
        <v>1459</v>
      </c>
      <c r="D25" s="1128"/>
      <c r="E25" s="1150">
        <v>1.1000000000000001</v>
      </c>
      <c r="F25" s="1129"/>
      <c r="G25" s="1130"/>
      <c r="H25" s="1101"/>
      <c r="I25" s="1101"/>
    </row>
    <row r="26" spans="1:9" s="1584" customFormat="1" ht="19.5" customHeight="1">
      <c r="A26" s="3440"/>
      <c r="B26" s="3440"/>
      <c r="C26" s="1127" t="s">
        <v>1460</v>
      </c>
      <c r="D26" s="1128"/>
      <c r="E26" s="1150">
        <v>1.1000000000000001</v>
      </c>
      <c r="F26" s="1129"/>
      <c r="G26" s="1130"/>
      <c r="H26" s="1101"/>
      <c r="I26" s="1101"/>
    </row>
    <row r="27" spans="1:9" s="1584" customFormat="1" ht="19.5" customHeight="1">
      <c r="A27" s="3440"/>
      <c r="B27" s="3440"/>
      <c r="C27" s="1127" t="s">
        <v>1461</v>
      </c>
      <c r="D27" s="1128"/>
      <c r="E27" s="1150">
        <v>0.9</v>
      </c>
      <c r="F27" s="1129" t="s">
        <v>1462</v>
      </c>
      <c r="G27" s="1130"/>
      <c r="H27" s="1101"/>
      <c r="I27" s="1101"/>
    </row>
    <row r="28" spans="1:9" s="1584" customFormat="1" ht="19.5" customHeight="1">
      <c r="A28" s="3440"/>
      <c r="B28" s="3440"/>
      <c r="C28" s="1127" t="s">
        <v>1463</v>
      </c>
      <c r="D28" s="1128"/>
      <c r="E28" s="1150">
        <v>0.9</v>
      </c>
      <c r="F28" s="1129" t="s">
        <v>1464</v>
      </c>
      <c r="G28" s="1130"/>
      <c r="H28" s="1101"/>
      <c r="I28" s="1101"/>
    </row>
    <row r="29" spans="1:9" s="1584" customFormat="1" ht="19.5" customHeight="1">
      <c r="A29" s="3440"/>
      <c r="B29" s="3440"/>
      <c r="C29" s="1127" t="s">
        <v>1465</v>
      </c>
      <c r="D29" s="1128"/>
      <c r="E29" s="1150">
        <v>0.9</v>
      </c>
      <c r="F29" s="1129" t="s">
        <v>1466</v>
      </c>
      <c r="G29" s="1130"/>
      <c r="H29" s="1101"/>
      <c r="I29" s="1101"/>
    </row>
    <row r="30" spans="1:9" s="1584" customFormat="1" ht="19.5" customHeight="1">
      <c r="A30" s="3440"/>
      <c r="B30" s="3440"/>
      <c r="C30" s="1127" t="s">
        <v>1467</v>
      </c>
      <c r="D30" s="1128"/>
      <c r="E30" s="1150">
        <v>0.9</v>
      </c>
      <c r="F30" s="1129" t="s">
        <v>1468</v>
      </c>
      <c r="G30" s="1130"/>
      <c r="H30" s="1101"/>
      <c r="I30" s="1101"/>
    </row>
    <row r="31" spans="1:9" s="1584" customFormat="1" ht="19.5" customHeight="1">
      <c r="A31" s="3440"/>
      <c r="B31" s="3440"/>
      <c r="C31" s="1127" t="s">
        <v>1469</v>
      </c>
      <c r="D31" s="1128"/>
      <c r="E31" s="1150">
        <v>0.8</v>
      </c>
      <c r="F31" s="1129" t="s">
        <v>1470</v>
      </c>
      <c r="G31" s="1130"/>
      <c r="H31" s="1101"/>
      <c r="I31" s="1101"/>
    </row>
    <row r="32" spans="1:9" s="1584" customFormat="1" ht="19.5" customHeight="1">
      <c r="A32" s="3440"/>
      <c r="B32" s="3440"/>
      <c r="C32" s="1127" t="s">
        <v>1471</v>
      </c>
      <c r="D32" s="1128"/>
      <c r="E32" s="1150">
        <v>0.8</v>
      </c>
      <c r="F32" s="1129" t="s">
        <v>1472</v>
      </c>
      <c r="G32" s="1130"/>
      <c r="H32" s="1101"/>
      <c r="I32" s="1101"/>
    </row>
    <row r="33" spans="1:9" s="1584" customFormat="1" ht="19.5" customHeight="1">
      <c r="A33" s="3440" t="s">
        <v>1473</v>
      </c>
      <c r="B33" s="1150" t="s">
        <v>1445</v>
      </c>
      <c r="C33" s="1127" t="s">
        <v>1474</v>
      </c>
      <c r="D33" s="1128"/>
      <c r="E33" s="1150">
        <v>1</v>
      </c>
      <c r="F33" s="1129" t="s">
        <v>1475</v>
      </c>
      <c r="G33" s="1130"/>
      <c r="H33" s="1101"/>
      <c r="I33" s="1101"/>
    </row>
    <row r="34" spans="1:9" s="1584" customFormat="1" ht="19.5" customHeight="1">
      <c r="A34" s="3440"/>
      <c r="B34" s="1150" t="s">
        <v>1448</v>
      </c>
      <c r="C34" s="1127" t="s">
        <v>1476</v>
      </c>
      <c r="D34" s="1128"/>
      <c r="E34" s="1150">
        <v>1.5</v>
      </c>
      <c r="F34" s="1129" t="s">
        <v>1477</v>
      </c>
      <c r="G34" s="1130"/>
      <c r="H34" s="1101"/>
      <c r="I34" s="1101"/>
    </row>
    <row r="35" spans="1:9" s="1584" customFormat="1" ht="19.5" customHeight="1">
      <c r="A35" s="3440" t="s">
        <v>1431</v>
      </c>
      <c r="B35" s="1150" t="s">
        <v>1445</v>
      </c>
      <c r="C35" s="1127" t="s">
        <v>1478</v>
      </c>
      <c r="D35" s="1128"/>
      <c r="E35" s="1150">
        <v>1</v>
      </c>
      <c r="F35" s="1129" t="s">
        <v>1479</v>
      </c>
      <c r="G35" s="1130"/>
      <c r="H35" s="1101"/>
      <c r="I35" s="1101"/>
    </row>
    <row r="36" spans="1:9" s="1584" customFormat="1" ht="19.5" customHeight="1">
      <c r="A36" s="3440"/>
      <c r="B36" s="3440" t="s">
        <v>1448</v>
      </c>
      <c r="C36" s="1127" t="s">
        <v>1480</v>
      </c>
      <c r="D36" s="1128"/>
      <c r="E36" s="1150">
        <v>1</v>
      </c>
      <c r="F36" s="1129" t="s">
        <v>1481</v>
      </c>
      <c r="G36" s="1130"/>
      <c r="H36" s="1101"/>
      <c r="I36" s="1101"/>
    </row>
    <row r="37" spans="1:9" s="1584" customFormat="1" ht="19.5" customHeight="1">
      <c r="A37" s="3440"/>
      <c r="B37" s="3440"/>
      <c r="C37" s="1127" t="s">
        <v>1482</v>
      </c>
      <c r="D37" s="1128"/>
      <c r="E37" s="1150">
        <v>1.5</v>
      </c>
      <c r="F37" s="1129" t="s">
        <v>1483</v>
      </c>
      <c r="G37" s="1130"/>
      <c r="H37" s="1101"/>
      <c r="I37" s="1101"/>
    </row>
    <row r="38" spans="1:9" s="1584" customFormat="1" ht="19.5" customHeight="1">
      <c r="A38" s="3440"/>
      <c r="B38" s="3440"/>
      <c r="C38" s="1127" t="s">
        <v>1484</v>
      </c>
      <c r="D38" s="1128"/>
      <c r="E38" s="1150">
        <v>1</v>
      </c>
      <c r="F38" s="1129" t="s">
        <v>1485</v>
      </c>
      <c r="G38" s="1130"/>
      <c r="H38" s="1101"/>
      <c r="I38" s="1101"/>
    </row>
    <row r="39" spans="1:9" s="1584" customFormat="1" ht="19.5" customHeight="1">
      <c r="A39" s="3440"/>
      <c r="B39" s="3440"/>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0" t="s">
        <v>1500</v>
      </c>
      <c r="C61" s="1064" t="s">
        <v>1501</v>
      </c>
      <c r="D61" s="1064" t="s">
        <v>1502</v>
      </c>
      <c r="E61" s="1135">
        <v>0.5</v>
      </c>
      <c r="F61" s="1150">
        <v>80</v>
      </c>
      <c r="H61" s="1101">
        <f>SUMIF(C59:C119,基准地价!C8,E59:E119)</f>
        <v>0</v>
      </c>
    </row>
    <row r="62" spans="1:8" s="1101" customFormat="1" ht="24">
      <c r="A62" s="1150">
        <v>2</v>
      </c>
      <c r="B62" s="3440"/>
      <c r="C62" s="1064" t="s">
        <v>1503</v>
      </c>
      <c r="D62" s="1064" t="s">
        <v>1504</v>
      </c>
      <c r="E62" s="1135">
        <v>0.5</v>
      </c>
      <c r="F62" s="1150">
        <v>80</v>
      </c>
    </row>
    <row r="63" spans="1:8" s="1101" customFormat="1" ht="36">
      <c r="A63" s="1150">
        <v>3</v>
      </c>
      <c r="B63" s="3440"/>
      <c r="C63" s="1064" t="s">
        <v>1505</v>
      </c>
      <c r="D63" s="1064" t="s">
        <v>1506</v>
      </c>
      <c r="E63" s="1135">
        <v>0.5</v>
      </c>
      <c r="F63" s="1150">
        <v>80</v>
      </c>
    </row>
    <row r="64" spans="1:8" s="1101" customFormat="1" ht="36">
      <c r="A64" s="1150">
        <v>4</v>
      </c>
      <c r="B64" s="3440"/>
      <c r="C64" s="1064" t="s">
        <v>1507</v>
      </c>
      <c r="D64" s="1064" t="s">
        <v>1508</v>
      </c>
      <c r="E64" s="1135">
        <v>0.4</v>
      </c>
      <c r="F64" s="1150">
        <v>60</v>
      </c>
    </row>
    <row r="65" spans="1:6" s="1101" customFormat="1" ht="36">
      <c r="A65" s="1150">
        <v>5</v>
      </c>
      <c r="B65" s="3440"/>
      <c r="C65" s="1064" t="s">
        <v>1509</v>
      </c>
      <c r="D65" s="1064" t="s">
        <v>1510</v>
      </c>
      <c r="E65" s="1135">
        <v>0.2</v>
      </c>
      <c r="F65" s="1150">
        <v>30</v>
      </c>
    </row>
    <row r="66" spans="1:6" s="1101" customFormat="1" ht="36">
      <c r="A66" s="1150">
        <v>6</v>
      </c>
      <c r="B66" s="3440"/>
      <c r="C66" s="1064" t="s">
        <v>1511</v>
      </c>
      <c r="D66" s="1064" t="s">
        <v>1512</v>
      </c>
      <c r="E66" s="1135">
        <v>0.3</v>
      </c>
      <c r="F66" s="1150">
        <v>50</v>
      </c>
    </row>
    <row r="67" spans="1:6" s="1101" customFormat="1" ht="36">
      <c r="A67" s="1150">
        <v>7</v>
      </c>
      <c r="B67" s="3440"/>
      <c r="C67" s="1064" t="s">
        <v>1513</v>
      </c>
      <c r="D67" s="1064" t="s">
        <v>1514</v>
      </c>
      <c r="E67" s="1135">
        <v>0.2</v>
      </c>
      <c r="F67" s="1150">
        <v>30</v>
      </c>
    </row>
    <row r="68" spans="1:6" s="1101" customFormat="1" ht="36">
      <c r="A68" s="1150">
        <v>8</v>
      </c>
      <c r="B68" s="3440"/>
      <c r="C68" s="1064" t="s">
        <v>1515</v>
      </c>
      <c r="D68" s="1064" t="s">
        <v>1516</v>
      </c>
      <c r="E68" s="1135">
        <v>0.2</v>
      </c>
      <c r="F68" s="1150">
        <v>30</v>
      </c>
    </row>
    <row r="69" spans="1:6" s="1101" customFormat="1" ht="36">
      <c r="A69" s="1150">
        <v>9</v>
      </c>
      <c r="B69" s="3440"/>
      <c r="C69" s="1064" t="s">
        <v>1517</v>
      </c>
      <c r="D69" s="1064" t="s">
        <v>1518</v>
      </c>
      <c r="E69" s="1135">
        <v>0.2</v>
      </c>
      <c r="F69" s="1150">
        <v>30</v>
      </c>
    </row>
    <row r="70" spans="1:6" s="1101" customFormat="1" ht="48">
      <c r="A70" s="1150">
        <v>10</v>
      </c>
      <c r="B70" s="3440"/>
      <c r="C70" s="1064" t="s">
        <v>1519</v>
      </c>
      <c r="D70" s="1064" t="s">
        <v>1520</v>
      </c>
      <c r="E70" s="1135">
        <v>0.2</v>
      </c>
      <c r="F70" s="1150">
        <v>30</v>
      </c>
    </row>
    <row r="71" spans="1:6" s="1101" customFormat="1" ht="48">
      <c r="A71" s="1150">
        <v>11</v>
      </c>
      <c r="B71" s="3440"/>
      <c r="C71" s="1064" t="s">
        <v>1521</v>
      </c>
      <c r="D71" s="1064" t="s">
        <v>1522</v>
      </c>
      <c r="E71" s="1135">
        <v>0.2</v>
      </c>
      <c r="F71" s="1150">
        <v>30</v>
      </c>
    </row>
    <row r="72" spans="1:6" s="1101" customFormat="1" ht="36">
      <c r="A72" s="1150">
        <v>12</v>
      </c>
      <c r="B72" s="3440"/>
      <c r="C72" s="1064" t="s">
        <v>1523</v>
      </c>
      <c r="D72" s="1064" t="s">
        <v>1524</v>
      </c>
      <c r="E72" s="1135">
        <v>0.5</v>
      </c>
      <c r="F72" s="1150">
        <v>80</v>
      </c>
    </row>
    <row r="73" spans="1:6" s="1101" customFormat="1" ht="24">
      <c r="A73" s="1150">
        <v>13</v>
      </c>
      <c r="B73" s="3440"/>
      <c r="C73" s="1064" t="s">
        <v>1525</v>
      </c>
      <c r="D73" s="1064" t="s">
        <v>1526</v>
      </c>
      <c r="E73" s="1135">
        <v>0.4</v>
      </c>
      <c r="F73" s="1150">
        <v>60</v>
      </c>
    </row>
    <row r="74" spans="1:6" s="1101" customFormat="1" ht="24">
      <c r="A74" s="1150">
        <v>14</v>
      </c>
      <c r="B74" s="3440"/>
      <c r="C74" s="1064" t="s">
        <v>1527</v>
      </c>
      <c r="D74" s="1064" t="s">
        <v>1528</v>
      </c>
      <c r="E74" s="1135">
        <v>0.2</v>
      </c>
      <c r="F74" s="1150">
        <v>30</v>
      </c>
    </row>
    <row r="75" spans="1:6" s="1101" customFormat="1" ht="24">
      <c r="A75" s="1150">
        <v>15</v>
      </c>
      <c r="B75" s="3440"/>
      <c r="C75" s="1064" t="s">
        <v>1529</v>
      </c>
      <c r="D75" s="1064" t="s">
        <v>1530</v>
      </c>
      <c r="E75" s="1135">
        <v>0.2</v>
      </c>
      <c r="F75" s="1150">
        <v>30</v>
      </c>
    </row>
    <row r="76" spans="1:6" s="1101" customFormat="1" ht="24">
      <c r="A76" s="1150">
        <v>16</v>
      </c>
      <c r="B76" s="3440" t="s">
        <v>1531</v>
      </c>
      <c r="C76" s="1064" t="s">
        <v>1532</v>
      </c>
      <c r="D76" s="1064" t="s">
        <v>1533</v>
      </c>
      <c r="E76" s="1135">
        <v>0.5</v>
      </c>
      <c r="F76" s="1150">
        <v>80</v>
      </c>
    </row>
    <row r="77" spans="1:6" s="1101" customFormat="1" ht="24">
      <c r="A77" s="1150">
        <v>17</v>
      </c>
      <c r="B77" s="3440"/>
      <c r="C77" s="1064" t="s">
        <v>1534</v>
      </c>
      <c r="D77" s="1064" t="s">
        <v>1535</v>
      </c>
      <c r="E77" s="1135">
        <v>0.5</v>
      </c>
      <c r="F77" s="1150">
        <v>80</v>
      </c>
    </row>
    <row r="78" spans="1:6" s="1101" customFormat="1" ht="24">
      <c r="A78" s="1150">
        <v>18</v>
      </c>
      <c r="B78" s="3440"/>
      <c r="C78" s="1064" t="s">
        <v>1536</v>
      </c>
      <c r="D78" s="1064" t="s">
        <v>1537</v>
      </c>
      <c r="E78" s="1135">
        <v>0.2</v>
      </c>
      <c r="F78" s="1150">
        <v>30</v>
      </c>
    </row>
    <row r="79" spans="1:6" s="1101" customFormat="1" ht="24">
      <c r="A79" s="1150">
        <v>19</v>
      </c>
      <c r="B79" s="3440"/>
      <c r="C79" s="1064" t="s">
        <v>1538</v>
      </c>
      <c r="D79" s="1064" t="s">
        <v>1539</v>
      </c>
      <c r="E79" s="1135">
        <v>0.5</v>
      </c>
      <c r="F79" s="1150">
        <v>80</v>
      </c>
    </row>
    <row r="80" spans="1:6" s="1101" customFormat="1" ht="36">
      <c r="A80" s="1150">
        <v>20</v>
      </c>
      <c r="B80" s="3440"/>
      <c r="C80" s="1064" t="s">
        <v>1540</v>
      </c>
      <c r="D80" s="1064" t="s">
        <v>1541</v>
      </c>
      <c r="E80" s="1135">
        <v>0.2</v>
      </c>
      <c r="F80" s="1150">
        <v>30</v>
      </c>
    </row>
    <row r="81" spans="1:6" s="1101" customFormat="1" ht="36">
      <c r="A81" s="1150">
        <v>21</v>
      </c>
      <c r="B81" s="3440"/>
      <c r="C81" s="1064" t="s">
        <v>1542</v>
      </c>
      <c r="D81" s="1064" t="s">
        <v>1543</v>
      </c>
      <c r="E81" s="1135">
        <v>0.2</v>
      </c>
      <c r="F81" s="1150">
        <v>30</v>
      </c>
    </row>
    <row r="82" spans="1:6" s="1101" customFormat="1" ht="48">
      <c r="A82" s="1150">
        <v>22</v>
      </c>
      <c r="B82" s="3440"/>
      <c r="C82" s="1064" t="s">
        <v>1544</v>
      </c>
      <c r="D82" s="1064" t="s">
        <v>1545</v>
      </c>
      <c r="E82" s="1135">
        <v>0.2</v>
      </c>
      <c r="F82" s="1150">
        <v>30</v>
      </c>
    </row>
    <row r="83" spans="1:6" s="1101" customFormat="1" ht="48">
      <c r="A83" s="1150">
        <v>23</v>
      </c>
      <c r="B83" s="3440"/>
      <c r="C83" s="1064" t="s">
        <v>1546</v>
      </c>
      <c r="D83" s="1064" t="s">
        <v>1547</v>
      </c>
      <c r="E83" s="1135">
        <v>0.2</v>
      </c>
      <c r="F83" s="1150">
        <v>30</v>
      </c>
    </row>
    <row r="84" spans="1:6" s="1101" customFormat="1" ht="36">
      <c r="A84" s="1150">
        <v>24</v>
      </c>
      <c r="B84" s="3440"/>
      <c r="C84" s="1064" t="s">
        <v>1548</v>
      </c>
      <c r="D84" s="1064" t="s">
        <v>1549</v>
      </c>
      <c r="E84" s="1135">
        <v>0.2</v>
      </c>
      <c r="F84" s="1150">
        <v>30</v>
      </c>
    </row>
    <row r="85" spans="1:6" s="1101" customFormat="1" ht="36">
      <c r="A85" s="1150">
        <v>25</v>
      </c>
      <c r="B85" s="3440"/>
      <c r="C85" s="1064" t="s">
        <v>1550</v>
      </c>
      <c r="D85" s="1064" t="s">
        <v>1551</v>
      </c>
      <c r="E85" s="1135">
        <v>0.5</v>
      </c>
      <c r="F85" s="1150">
        <v>80</v>
      </c>
    </row>
    <row r="86" spans="1:6" s="1101" customFormat="1" ht="36">
      <c r="A86" s="1150">
        <v>26</v>
      </c>
      <c r="B86" s="3440"/>
      <c r="C86" s="1064" t="s">
        <v>1552</v>
      </c>
      <c r="D86" s="1064" t="s">
        <v>1553</v>
      </c>
      <c r="E86" s="1135">
        <v>0.2</v>
      </c>
      <c r="F86" s="1150">
        <v>30</v>
      </c>
    </row>
    <row r="87" spans="1:6" s="1101" customFormat="1" ht="36">
      <c r="A87" s="1150">
        <v>27</v>
      </c>
      <c r="B87" s="3440"/>
      <c r="C87" s="1064" t="s">
        <v>1554</v>
      </c>
      <c r="D87" s="1064" t="s">
        <v>1555</v>
      </c>
      <c r="E87" s="1135">
        <v>0.2</v>
      </c>
      <c r="F87" s="1150">
        <v>30</v>
      </c>
    </row>
    <row r="88" spans="1:6" s="1101" customFormat="1" ht="36">
      <c r="A88" s="1150">
        <v>28</v>
      </c>
      <c r="B88" s="3440"/>
      <c r="C88" s="1064" t="s">
        <v>1556</v>
      </c>
      <c r="D88" s="1064" t="s">
        <v>1557</v>
      </c>
      <c r="E88" s="1135">
        <v>0.2</v>
      </c>
      <c r="F88" s="1150">
        <v>30</v>
      </c>
    </row>
    <row r="89" spans="1:6" s="1101" customFormat="1" ht="24">
      <c r="A89" s="1150">
        <v>29</v>
      </c>
      <c r="B89" s="3440"/>
      <c r="C89" s="1064" t="s">
        <v>1558</v>
      </c>
      <c r="D89" s="1064" t="s">
        <v>1559</v>
      </c>
      <c r="E89" s="1135">
        <v>0.2</v>
      </c>
      <c r="F89" s="1150">
        <v>30</v>
      </c>
    </row>
    <row r="90" spans="1:6" s="1101" customFormat="1" ht="24">
      <c r="A90" s="1150">
        <v>30</v>
      </c>
      <c r="B90" s="3440"/>
      <c r="C90" s="1064" t="s">
        <v>1560</v>
      </c>
      <c r="D90" s="1064" t="s">
        <v>1561</v>
      </c>
      <c r="E90" s="1135">
        <v>0.2</v>
      </c>
      <c r="F90" s="1150">
        <v>30</v>
      </c>
    </row>
    <row r="91" spans="1:6" s="1101" customFormat="1" ht="36">
      <c r="A91" s="1150">
        <v>31</v>
      </c>
      <c r="B91" s="3440"/>
      <c r="C91" s="1064" t="s">
        <v>1562</v>
      </c>
      <c r="D91" s="1064" t="s">
        <v>1563</v>
      </c>
      <c r="E91" s="1135">
        <v>0.2</v>
      </c>
      <c r="F91" s="1150">
        <v>30</v>
      </c>
    </row>
    <row r="92" spans="1:6" s="1101" customFormat="1" ht="24">
      <c r="A92" s="1150">
        <v>32</v>
      </c>
      <c r="B92" s="3440" t="s">
        <v>1564</v>
      </c>
      <c r="C92" s="1150" t="s">
        <v>1565</v>
      </c>
      <c r="D92" s="1064" t="s">
        <v>1566</v>
      </c>
      <c r="E92" s="1135">
        <v>0.2</v>
      </c>
      <c r="F92" s="1150">
        <v>30</v>
      </c>
    </row>
    <row r="93" spans="1:6" s="1101" customFormat="1" ht="36">
      <c r="A93" s="1150">
        <v>33</v>
      </c>
      <c r="B93" s="3440"/>
      <c r="C93" s="1150" t="s">
        <v>1567</v>
      </c>
      <c r="D93" s="1064" t="s">
        <v>1568</v>
      </c>
      <c r="E93" s="1135">
        <v>0.2</v>
      </c>
      <c r="F93" s="1150">
        <v>30</v>
      </c>
    </row>
    <row r="94" spans="1:6" s="1101" customFormat="1" ht="48">
      <c r="A94" s="1150">
        <v>34</v>
      </c>
      <c r="B94" s="3440"/>
      <c r="C94" s="1150" t="s">
        <v>1569</v>
      </c>
      <c r="D94" s="1064" t="s">
        <v>1570</v>
      </c>
      <c r="E94" s="1135">
        <v>0.2</v>
      </c>
      <c r="F94" s="1150">
        <v>30</v>
      </c>
    </row>
    <row r="95" spans="1:6" s="1101" customFormat="1" ht="36">
      <c r="A95" s="1150">
        <v>35</v>
      </c>
      <c r="B95" s="3440"/>
      <c r="C95" s="1150" t="s">
        <v>1571</v>
      </c>
      <c r="D95" s="1064" t="s">
        <v>1572</v>
      </c>
      <c r="E95" s="1135">
        <v>0.2</v>
      </c>
      <c r="F95" s="1150">
        <v>30</v>
      </c>
    </row>
    <row r="96" spans="1:6" s="1101" customFormat="1" ht="48">
      <c r="A96" s="1150">
        <v>36</v>
      </c>
      <c r="B96" s="3440"/>
      <c r="C96" s="1064" t="s">
        <v>1573</v>
      </c>
      <c r="D96" s="1064" t="s">
        <v>1574</v>
      </c>
      <c r="E96" s="1135">
        <v>0.2</v>
      </c>
      <c r="F96" s="1150">
        <v>30</v>
      </c>
    </row>
    <row r="97" spans="1:6" s="1101" customFormat="1" ht="36">
      <c r="A97" s="1150">
        <v>37</v>
      </c>
      <c r="B97" s="3440"/>
      <c r="C97" s="1150" t="s">
        <v>1575</v>
      </c>
      <c r="D97" s="1064" t="s">
        <v>1576</v>
      </c>
      <c r="E97" s="1135">
        <v>0.2</v>
      </c>
      <c r="F97" s="1150">
        <v>30</v>
      </c>
    </row>
    <row r="98" spans="1:6" s="1101" customFormat="1" ht="36">
      <c r="A98" s="1150">
        <v>38</v>
      </c>
      <c r="B98" s="3440"/>
      <c r="C98" s="1150" t="s">
        <v>1577</v>
      </c>
      <c r="D98" s="1064" t="s">
        <v>1578</v>
      </c>
      <c r="E98" s="1135">
        <v>0.2</v>
      </c>
      <c r="F98" s="1150">
        <v>30</v>
      </c>
    </row>
    <row r="99" spans="1:6" s="1101" customFormat="1" ht="36">
      <c r="A99" s="1150">
        <v>39</v>
      </c>
      <c r="B99" s="3440" t="s">
        <v>1579</v>
      </c>
      <c r="C99" s="1150" t="s">
        <v>1580</v>
      </c>
      <c r="D99" s="1064" t="s">
        <v>1581</v>
      </c>
      <c r="E99" s="1135">
        <v>0.3</v>
      </c>
      <c r="F99" s="1150">
        <v>50</v>
      </c>
    </row>
    <row r="100" spans="1:6" s="1101" customFormat="1" ht="24">
      <c r="A100" s="1150">
        <v>40</v>
      </c>
      <c r="B100" s="3440"/>
      <c r="C100" s="1150" t="s">
        <v>1582</v>
      </c>
      <c r="D100" s="1064" t="s">
        <v>1583</v>
      </c>
      <c r="E100" s="1135">
        <v>0.2</v>
      </c>
      <c r="F100" s="1150">
        <v>30</v>
      </c>
    </row>
    <row r="101" spans="1:6" s="1101" customFormat="1" ht="36">
      <c r="A101" s="1150">
        <v>41</v>
      </c>
      <c r="B101" s="344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0" t="s">
        <v>1594</v>
      </c>
      <c r="C105" s="1150" t="s">
        <v>1595</v>
      </c>
      <c r="D105" s="1064" t="s">
        <v>1596</v>
      </c>
      <c r="E105" s="1135">
        <v>0.2</v>
      </c>
      <c r="F105" s="1150">
        <v>30</v>
      </c>
    </row>
    <row r="106" spans="1:6" s="1101" customFormat="1" ht="36">
      <c r="A106" s="1150">
        <v>46</v>
      </c>
      <c r="B106" s="3440"/>
      <c r="C106" s="1150" t="s">
        <v>1597</v>
      </c>
      <c r="D106" s="1064" t="s">
        <v>1598</v>
      </c>
      <c r="E106" s="1135">
        <v>0.2</v>
      </c>
      <c r="F106" s="1150">
        <v>30</v>
      </c>
    </row>
    <row r="107" spans="1:6" s="1101" customFormat="1" ht="36">
      <c r="A107" s="1150">
        <v>47</v>
      </c>
      <c r="B107" s="3440" t="s">
        <v>1599</v>
      </c>
      <c r="C107" s="1150" t="s">
        <v>1600</v>
      </c>
      <c r="D107" s="1064" t="s">
        <v>1601</v>
      </c>
      <c r="E107" s="1135">
        <v>0.3</v>
      </c>
      <c r="F107" s="1150">
        <v>50</v>
      </c>
    </row>
    <row r="108" spans="1:6" s="1101" customFormat="1" ht="36">
      <c r="A108" s="1150">
        <v>48</v>
      </c>
      <c r="B108" s="344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0" t="s">
        <v>1610</v>
      </c>
      <c r="C111" s="1150" t="s">
        <v>1611</v>
      </c>
      <c r="D111" s="1064" t="s">
        <v>1612</v>
      </c>
      <c r="E111" s="1135">
        <v>0.2</v>
      </c>
      <c r="F111" s="1150">
        <v>30</v>
      </c>
    </row>
    <row r="112" spans="1:6" s="1101" customFormat="1" ht="24">
      <c r="A112" s="1150">
        <v>52</v>
      </c>
      <c r="B112" s="3440"/>
      <c r="C112" s="1150" t="s">
        <v>1613</v>
      </c>
      <c r="D112" s="1064" t="s">
        <v>1614</v>
      </c>
      <c r="E112" s="1135">
        <v>0.2</v>
      </c>
      <c r="F112" s="1150">
        <v>30</v>
      </c>
    </row>
    <row r="113" spans="1:14" s="1101" customFormat="1" ht="24">
      <c r="A113" s="1150">
        <v>53</v>
      </c>
      <c r="B113" s="344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0" t="s">
        <v>1623</v>
      </c>
      <c r="C116" s="1150" t="s">
        <v>1624</v>
      </c>
      <c r="D116" s="1064" t="s">
        <v>1625</v>
      </c>
      <c r="E116" s="1135">
        <v>0.2</v>
      </c>
      <c r="F116" s="1150">
        <v>30</v>
      </c>
    </row>
    <row r="117" spans="1:14" ht="36">
      <c r="A117" s="1150">
        <v>57</v>
      </c>
      <c r="B117" s="344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9" t="s">
        <v>1632</v>
      </c>
      <c r="B121" s="3439"/>
      <c r="C121" s="3439"/>
      <c r="D121" s="3439"/>
      <c r="E121" s="3439"/>
      <c r="F121" s="3439"/>
      <c r="G121" s="3439"/>
      <c r="H121" s="3439"/>
      <c r="I121" s="3439"/>
      <c r="J121" s="343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4" t="s">
        <v>1038</v>
      </c>
      <c r="B1" s="3444"/>
      <c r="C1" s="3444"/>
      <c r="D1" s="3444"/>
      <c r="E1" s="3444"/>
      <c r="F1" s="344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5" t="s">
        <v>1051</v>
      </c>
      <c r="B2" s="3445"/>
      <c r="C2" s="3445"/>
      <c r="D2" s="3445"/>
      <c r="E2" s="3445"/>
      <c r="F2" s="344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8" t="s">
        <v>2077</v>
      </c>
      <c r="B1" s="3448"/>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1095</v>
      </c>
      <c r="B6" s="1843" t="s">
        <v>2086</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2087</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2088</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2089</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2090</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2091</v>
      </c>
      <c r="C72" s="1853"/>
      <c r="D72" s="1853"/>
      <c r="E72" s="1853"/>
      <c r="F72" s="1845">
        <v>0.05</v>
      </c>
    </row>
    <row r="73" spans="1:6" ht="14.25" thickBot="1">
      <c r="A73" s="1839" t="s">
        <v>924</v>
      </c>
      <c r="B73" s="1843" t="s">
        <v>2092</v>
      </c>
      <c r="C73" s="1853"/>
      <c r="D73" s="1853"/>
      <c r="E73" s="1853"/>
      <c r="F73" s="1845">
        <v>0.05</v>
      </c>
    </row>
    <row r="74" spans="1:6" ht="14.25" thickBot="1">
      <c r="A74" s="1839" t="s">
        <v>924</v>
      </c>
      <c r="B74" s="1843" t="s">
        <v>2093</v>
      </c>
      <c r="C74" s="1853"/>
      <c r="D74" s="1853"/>
      <c r="E74" s="1853"/>
      <c r="F74" s="1845">
        <v>0.05</v>
      </c>
    </row>
    <row r="75" spans="1:6" ht="14.25" thickBot="1">
      <c r="A75" s="1847" t="s">
        <v>924</v>
      </c>
      <c r="B75" s="1854" t="s">
        <v>2094</v>
      </c>
      <c r="C75" s="1850"/>
      <c r="D75" s="1850"/>
      <c r="E75" s="1850"/>
      <c r="F75" s="1855">
        <v>0.05</v>
      </c>
    </row>
    <row r="76" spans="1:6" ht="14.25" thickBot="1">
      <c r="A76" s="1839" t="s">
        <v>1406</v>
      </c>
      <c r="B76" s="1840" t="s">
        <v>2095</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2096</v>
      </c>
      <c r="C102" s="1853"/>
      <c r="D102" s="1853"/>
      <c r="E102" s="1853"/>
      <c r="F102" s="1845">
        <v>0.05</v>
      </c>
    </row>
    <row r="103" spans="1:6" ht="24.75" thickBot="1">
      <c r="A103" s="1839" t="s">
        <v>1406</v>
      </c>
      <c r="B103" s="1843" t="s">
        <v>2097</v>
      </c>
      <c r="C103" s="1853"/>
      <c r="D103" s="1853"/>
      <c r="E103" s="1853"/>
      <c r="F103" s="1845">
        <v>0.05</v>
      </c>
    </row>
    <row r="104" spans="1:6" ht="14.25" thickBot="1">
      <c r="A104" s="1839" t="s">
        <v>1406</v>
      </c>
      <c r="B104" s="1843" t="s">
        <v>2098</v>
      </c>
      <c r="C104" s="1853"/>
      <c r="D104" s="1853"/>
      <c r="E104" s="1853"/>
      <c r="F104" s="1845">
        <v>0.05</v>
      </c>
    </row>
    <row r="105" spans="1:6" ht="14.25" thickBot="1">
      <c r="A105" s="1839" t="s">
        <v>1406</v>
      </c>
      <c r="B105" s="1843" t="s">
        <v>2099</v>
      </c>
      <c r="C105" s="1853"/>
      <c r="D105" s="1853"/>
      <c r="E105" s="1853"/>
      <c r="F105" s="1845">
        <v>0.05</v>
      </c>
    </row>
    <row r="106" spans="1:6" ht="14.25" thickBot="1">
      <c r="A106" s="1839" t="s">
        <v>1406</v>
      </c>
      <c r="B106" s="1843" t="s">
        <v>2100</v>
      </c>
      <c r="C106" s="1853"/>
      <c r="D106" s="1853"/>
      <c r="E106" s="1853"/>
      <c r="F106" s="1845">
        <v>0.05</v>
      </c>
    </row>
    <row r="107" spans="1:6" ht="24.75" thickBot="1">
      <c r="A107" s="1839" t="s">
        <v>1406</v>
      </c>
      <c r="B107" s="1843" t="s">
        <v>2101</v>
      </c>
      <c r="C107" s="1853"/>
      <c r="D107" s="1853"/>
      <c r="E107" s="1853"/>
      <c r="F107" s="1845">
        <v>0.05</v>
      </c>
    </row>
    <row r="108" spans="1:6" ht="24.75" thickBot="1">
      <c r="A108" s="1839" t="s">
        <v>1406</v>
      </c>
      <c r="B108" s="1843" t="s">
        <v>2102</v>
      </c>
      <c r="C108" s="1853"/>
      <c r="D108" s="1853"/>
      <c r="E108" s="1853"/>
      <c r="F108" s="1845">
        <v>0.05</v>
      </c>
    </row>
    <row r="109" spans="1:6" ht="24.75" thickBot="1">
      <c r="A109" s="1847" t="s">
        <v>1406</v>
      </c>
      <c r="B109" s="1854" t="s">
        <v>2103</v>
      </c>
      <c r="C109" s="1850"/>
      <c r="D109" s="1850"/>
      <c r="E109" s="1850"/>
      <c r="F109" s="1855">
        <v>0.05</v>
      </c>
    </row>
    <row r="110" spans="1:6" ht="14.25" thickBot="1">
      <c r="A110" s="1839" t="s">
        <v>1408</v>
      </c>
      <c r="B110" s="1840" t="s">
        <v>2104</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2105</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2106</v>
      </c>
      <c r="C138" s="1844">
        <v>0.105</v>
      </c>
      <c r="D138" s="1844">
        <v>0.125</v>
      </c>
      <c r="E138" s="1844">
        <v>0.112</v>
      </c>
      <c r="F138" s="1852"/>
    </row>
    <row r="139" spans="1:6" ht="14.25" thickBot="1">
      <c r="A139" s="1839" t="s">
        <v>1408</v>
      </c>
      <c r="B139" s="1843" t="s">
        <v>2107</v>
      </c>
      <c r="C139" s="1844">
        <v>0.127</v>
      </c>
      <c r="D139" s="1844">
        <v>0.127</v>
      </c>
      <c r="E139" s="1844">
        <v>0.122</v>
      </c>
      <c r="F139" s="1845">
        <v>0.13</v>
      </c>
    </row>
    <row r="140" spans="1:6" ht="14.25" thickBot="1">
      <c r="A140" s="1839" t="s">
        <v>1408</v>
      </c>
      <c r="B140" s="1843" t="s">
        <v>2108</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2109</v>
      </c>
      <c r="C144" s="1857">
        <v>0.126</v>
      </c>
      <c r="D144" s="1857">
        <v>0.126</v>
      </c>
      <c r="E144" s="1857">
        <v>0.121</v>
      </c>
      <c r="F144" s="1852"/>
    </row>
    <row r="145" spans="1:6" ht="14.25" thickBot="1">
      <c r="A145" s="1847" t="s">
        <v>1408</v>
      </c>
      <c r="B145" s="1858" t="s">
        <v>2110</v>
      </c>
      <c r="C145" s="1859"/>
      <c r="D145" s="1859"/>
      <c r="E145" s="1859"/>
      <c r="F145" s="1860">
        <v>0.05</v>
      </c>
    </row>
    <row r="146" spans="1:6" ht="24.75" thickBot="1">
      <c r="A146" s="1861" t="s">
        <v>1408</v>
      </c>
      <c r="B146" s="1846" t="s">
        <v>2111</v>
      </c>
      <c r="C146" s="1853"/>
      <c r="D146" s="1853"/>
      <c r="E146" s="1853"/>
      <c r="F146" s="1862">
        <v>0.05</v>
      </c>
    </row>
    <row r="147" spans="1:6" ht="24.75" thickBot="1">
      <c r="A147" s="1839" t="s">
        <v>1408</v>
      </c>
      <c r="B147" s="1843" t="s">
        <v>2112</v>
      </c>
      <c r="C147" s="1853"/>
      <c r="D147" s="1853"/>
      <c r="E147" s="1853"/>
      <c r="F147" s="1845">
        <v>0.05</v>
      </c>
    </row>
    <row r="148" spans="1:6" ht="24.75" thickBot="1">
      <c r="A148" s="1839" t="s">
        <v>1408</v>
      </c>
      <c r="B148" s="1843" t="s">
        <v>2113</v>
      </c>
      <c r="C148" s="1853"/>
      <c r="D148" s="1853"/>
      <c r="E148" s="1853"/>
      <c r="F148" s="1845">
        <v>0.05</v>
      </c>
    </row>
    <row r="149" spans="1:6" ht="24.75" thickBot="1">
      <c r="A149" s="1839" t="s">
        <v>1408</v>
      </c>
      <c r="B149" s="1843" t="s">
        <v>2114</v>
      </c>
      <c r="C149" s="1853"/>
      <c r="D149" s="1853"/>
      <c r="E149" s="1853"/>
      <c r="F149" s="1845">
        <v>0.05</v>
      </c>
    </row>
    <row r="150" spans="1:6" ht="24.75" thickBot="1">
      <c r="A150" s="1839" t="s">
        <v>1408</v>
      </c>
      <c r="B150" s="1843" t="s">
        <v>2115</v>
      </c>
      <c r="C150" s="1853"/>
      <c r="D150" s="1853"/>
      <c r="E150" s="1853"/>
      <c r="F150" s="1845">
        <v>0.05</v>
      </c>
    </row>
    <row r="151" spans="1:6" ht="24.75" thickBot="1">
      <c r="A151" s="1839" t="s">
        <v>1408</v>
      </c>
      <c r="B151" s="1843" t="s">
        <v>2116</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2117</v>
      </c>
      <c r="C153" s="1853"/>
      <c r="D153" s="1853"/>
      <c r="E153" s="1853"/>
      <c r="F153" s="1845">
        <v>0.05</v>
      </c>
    </row>
    <row r="154" spans="1:6" ht="14.25" thickBot="1">
      <c r="A154" s="1839" t="s">
        <v>1408</v>
      </c>
      <c r="B154" s="1843" t="s">
        <v>2118</v>
      </c>
      <c r="C154" s="1853"/>
      <c r="D154" s="1853"/>
      <c r="E154" s="1853"/>
      <c r="F154" s="1845">
        <v>0.05</v>
      </c>
    </row>
    <row r="155" spans="1:6" ht="24.75" thickBot="1">
      <c r="A155" s="1839" t="s">
        <v>1408</v>
      </c>
      <c r="B155" s="1843" t="s">
        <v>2119</v>
      </c>
      <c r="C155" s="1853"/>
      <c r="D155" s="1853"/>
      <c r="E155" s="1853"/>
      <c r="F155" s="1845">
        <v>0.05</v>
      </c>
    </row>
    <row r="156" spans="1:6" ht="24.75" thickBot="1">
      <c r="A156" s="1839" t="s">
        <v>1408</v>
      </c>
      <c r="B156" s="1843" t="s">
        <v>2120</v>
      </c>
      <c r="C156" s="1853"/>
      <c r="D156" s="1853"/>
      <c r="E156" s="1853"/>
      <c r="F156" s="1845">
        <v>0.05</v>
      </c>
    </row>
    <row r="157" spans="1:6" ht="14.25" thickBot="1">
      <c r="A157" s="1847" t="s">
        <v>1408</v>
      </c>
      <c r="B157" s="1854" t="s">
        <v>2121</v>
      </c>
      <c r="C157" s="1850"/>
      <c r="D157" s="1850"/>
      <c r="E157" s="1850"/>
      <c r="F157" s="1855">
        <v>0.05</v>
      </c>
    </row>
    <row r="158" spans="1:6" ht="14.25" thickBot="1">
      <c r="A158" s="1839" t="s">
        <v>1410</v>
      </c>
      <c r="B158" s="1840" t="s">
        <v>2122</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2123</v>
      </c>
      <c r="C171" s="1844">
        <v>0.127</v>
      </c>
      <c r="D171" s="1844">
        <v>0.126</v>
      </c>
      <c r="E171" s="1844">
        <v>0.126</v>
      </c>
      <c r="F171" s="1845">
        <v>0.11799999999999999</v>
      </c>
    </row>
    <row r="172" spans="1:6" ht="14.25" thickBot="1">
      <c r="A172" s="1839" t="s">
        <v>1410</v>
      </c>
      <c r="B172" s="1843" t="s">
        <v>2124</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2125</v>
      </c>
      <c r="C174" s="1844">
        <v>0.13</v>
      </c>
      <c r="D174" s="1844">
        <v>0.13</v>
      </c>
      <c r="E174" s="1844">
        <v>0.13</v>
      </c>
      <c r="F174" s="1845">
        <v>0.13</v>
      </c>
    </row>
    <row r="175" spans="1:6" ht="14.25" thickBot="1">
      <c r="A175" s="1839" t="s">
        <v>1410</v>
      </c>
      <c r="B175" s="1843" t="s">
        <v>2126</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2127</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2128</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2129</v>
      </c>
      <c r="C185" s="1844">
        <v>0.127</v>
      </c>
      <c r="D185" s="1844">
        <v>0.127</v>
      </c>
      <c r="E185" s="1844">
        <v>0.128</v>
      </c>
      <c r="F185" s="1845">
        <v>0.13</v>
      </c>
    </row>
    <row r="186" spans="1:6" ht="24.75" thickBot="1">
      <c r="A186" s="1839" t="s">
        <v>1410</v>
      </c>
      <c r="B186" s="1843" t="s">
        <v>2130</v>
      </c>
      <c r="C186" s="1853"/>
      <c r="D186" s="1853"/>
      <c r="E186" s="1853"/>
      <c r="F186" s="1845">
        <v>0.05</v>
      </c>
    </row>
    <row r="187" spans="1:6" ht="14.25" thickBot="1">
      <c r="A187" s="1839" t="s">
        <v>1410</v>
      </c>
      <c r="B187" s="1843" t="s">
        <v>2131</v>
      </c>
      <c r="C187" s="1853"/>
      <c r="D187" s="1853"/>
      <c r="E187" s="1853"/>
      <c r="F187" s="1845">
        <v>0.05</v>
      </c>
    </row>
    <row r="188" spans="1:6" ht="14.25" thickBot="1">
      <c r="A188" s="1839" t="s">
        <v>1410</v>
      </c>
      <c r="B188" s="1843" t="s">
        <v>2132</v>
      </c>
      <c r="C188" s="1853"/>
      <c r="D188" s="1853"/>
      <c r="E188" s="1853"/>
      <c r="F188" s="1845">
        <v>0.05</v>
      </c>
    </row>
    <row r="189" spans="1:6" ht="24.75" thickBot="1">
      <c r="A189" s="1839" t="s">
        <v>1410</v>
      </c>
      <c r="B189" s="1843" t="s">
        <v>2133</v>
      </c>
      <c r="C189" s="1853"/>
      <c r="D189" s="1853"/>
      <c r="E189" s="1853"/>
      <c r="F189" s="1845">
        <v>0.05</v>
      </c>
    </row>
    <row r="190" spans="1:6" ht="24.75" thickBot="1">
      <c r="A190" s="1839" t="s">
        <v>1410</v>
      </c>
      <c r="B190" s="1843" t="s">
        <v>2134</v>
      </c>
      <c r="C190" s="1853"/>
      <c r="D190" s="1853"/>
      <c r="E190" s="1853"/>
      <c r="F190" s="1845">
        <v>0.05</v>
      </c>
    </row>
    <row r="191" spans="1:6" ht="24.75" thickBot="1">
      <c r="A191" s="1839" t="s">
        <v>1410</v>
      </c>
      <c r="B191" s="1843" t="s">
        <v>2135</v>
      </c>
      <c r="C191" s="1853"/>
      <c r="D191" s="1853"/>
      <c r="E191" s="1853"/>
      <c r="F191" s="1845">
        <v>0.05</v>
      </c>
    </row>
    <row r="192" spans="1:6" ht="24.75" thickBot="1">
      <c r="A192" s="1839" t="s">
        <v>1410</v>
      </c>
      <c r="B192" s="1843" t="s">
        <v>2136</v>
      </c>
      <c r="C192" s="1853"/>
      <c r="D192" s="1853"/>
      <c r="E192" s="1853"/>
      <c r="F192" s="1845">
        <v>0.05</v>
      </c>
    </row>
    <row r="193" spans="1:6" ht="24.75" thickBot="1">
      <c r="A193" s="1839" t="s">
        <v>1410</v>
      </c>
      <c r="B193" s="1843" t="s">
        <v>2137</v>
      </c>
      <c r="C193" s="1853"/>
      <c r="D193" s="1853"/>
      <c r="E193" s="1853"/>
      <c r="F193" s="1845">
        <v>0.05</v>
      </c>
    </row>
    <row r="194" spans="1:6" ht="24.75" thickBot="1">
      <c r="A194" s="1839" t="s">
        <v>1410</v>
      </c>
      <c r="B194" s="1843" t="s">
        <v>2138</v>
      </c>
      <c r="C194" s="1853"/>
      <c r="D194" s="1853"/>
      <c r="E194" s="1853"/>
      <c r="F194" s="1845">
        <v>0.05</v>
      </c>
    </row>
    <row r="195" spans="1:6" ht="14.25" thickBot="1">
      <c r="A195" s="1839" t="s">
        <v>1410</v>
      </c>
      <c r="B195" s="1843" t="s">
        <v>2139</v>
      </c>
      <c r="C195" s="1853"/>
      <c r="D195" s="1853"/>
      <c r="E195" s="1853"/>
      <c r="F195" s="1845">
        <v>0.05</v>
      </c>
    </row>
    <row r="196" spans="1:6" ht="24.75" thickBot="1">
      <c r="A196" s="1839" t="s">
        <v>1410</v>
      </c>
      <c r="B196" s="1843" t="s">
        <v>2140</v>
      </c>
      <c r="C196" s="1853"/>
      <c r="D196" s="1853"/>
      <c r="E196" s="1853"/>
      <c r="F196" s="1845">
        <v>0.05</v>
      </c>
    </row>
    <row r="197" spans="1:6" ht="24.75" thickBot="1">
      <c r="A197" s="1839" t="s">
        <v>1410</v>
      </c>
      <c r="B197" s="1843" t="s">
        <v>2141</v>
      </c>
      <c r="C197" s="1853"/>
      <c r="D197" s="1853"/>
      <c r="E197" s="1853"/>
      <c r="F197" s="1845">
        <v>0.05</v>
      </c>
    </row>
    <row r="198" spans="1:6" ht="24.75" thickBot="1">
      <c r="A198" s="1839" t="s">
        <v>1410</v>
      </c>
      <c r="B198" s="1843" t="s">
        <v>2142</v>
      </c>
      <c r="C198" s="1853"/>
      <c r="D198" s="1853"/>
      <c r="E198" s="1853"/>
      <c r="F198" s="1845">
        <v>0.05</v>
      </c>
    </row>
    <row r="199" spans="1:6" ht="24.75" thickBot="1">
      <c r="A199" s="1839" t="s">
        <v>1410</v>
      </c>
      <c r="B199" s="1843" t="s">
        <v>2143</v>
      </c>
      <c r="C199" s="1853"/>
      <c r="D199" s="1853"/>
      <c r="E199" s="1853"/>
      <c r="F199" s="1845">
        <v>0.05</v>
      </c>
    </row>
    <row r="200" spans="1:6" ht="24.75" thickBot="1">
      <c r="A200" s="1839" t="s">
        <v>1410</v>
      </c>
      <c r="B200" s="1843" t="s">
        <v>2144</v>
      </c>
      <c r="C200" s="1853"/>
      <c r="D200" s="1853"/>
      <c r="E200" s="1853"/>
      <c r="F200" s="1845">
        <v>0.05</v>
      </c>
    </row>
    <row r="201" spans="1:6" ht="24.75" thickBot="1">
      <c r="A201" s="1839" t="s">
        <v>1410</v>
      </c>
      <c r="B201" s="1843" t="s">
        <v>2145</v>
      </c>
      <c r="C201" s="1853"/>
      <c r="D201" s="1853"/>
      <c r="E201" s="1853"/>
      <c r="F201" s="1845">
        <v>0.05</v>
      </c>
    </row>
    <row r="202" spans="1:6" ht="24.75" thickBot="1">
      <c r="A202" s="1839" t="s">
        <v>1410</v>
      </c>
      <c r="B202" s="1843" t="s">
        <v>2146</v>
      </c>
      <c r="C202" s="1853"/>
      <c r="D202" s="1853"/>
      <c r="E202" s="1853"/>
      <c r="F202" s="1845">
        <v>0.05</v>
      </c>
    </row>
    <row r="203" spans="1:6" ht="24.75" thickBot="1">
      <c r="A203" s="1839" t="s">
        <v>1410</v>
      </c>
      <c r="B203" s="1843" t="s">
        <v>2147</v>
      </c>
      <c r="C203" s="1853"/>
      <c r="D203" s="1853"/>
      <c r="E203" s="1853"/>
      <c r="F203" s="1845">
        <v>0.05</v>
      </c>
    </row>
    <row r="204" spans="1:6" ht="14.25" thickBot="1">
      <c r="A204" s="1839" t="s">
        <v>1410</v>
      </c>
      <c r="B204" s="1843" t="s">
        <v>2148</v>
      </c>
      <c r="C204" s="1853"/>
      <c r="D204" s="1853"/>
      <c r="E204" s="1853"/>
      <c r="F204" s="1845">
        <v>0.05</v>
      </c>
    </row>
    <row r="205" spans="1:6" ht="14.25" thickBot="1">
      <c r="A205" s="1847" t="s">
        <v>1410</v>
      </c>
      <c r="B205" s="1854" t="s">
        <v>2149</v>
      </c>
      <c r="C205" s="1850"/>
      <c r="D205" s="1850"/>
      <c r="E205" s="1850"/>
      <c r="F205" s="1855">
        <v>0.05</v>
      </c>
    </row>
    <row r="206" spans="1:6" ht="14.25" thickBot="1">
      <c r="A206" s="1839" t="s">
        <v>1412</v>
      </c>
      <c r="B206" s="1840" t="s">
        <v>2150</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2151</v>
      </c>
      <c r="C210" s="1844">
        <v>0.15</v>
      </c>
      <c r="D210" s="1844">
        <v>0.15</v>
      </c>
      <c r="E210" s="1844">
        <v>0.15</v>
      </c>
      <c r="F210" s="1845">
        <v>0.13800000000000001</v>
      </c>
    </row>
    <row r="211" spans="1:6" ht="14.25" thickBot="1">
      <c r="A211" s="1839" t="s">
        <v>1412</v>
      </c>
      <c r="B211" s="1843" t="s">
        <v>2152</v>
      </c>
      <c r="C211" s="1844">
        <v>0.13700000000000001</v>
      </c>
      <c r="D211" s="1844">
        <v>0.13500000000000001</v>
      </c>
      <c r="E211" s="1844">
        <v>0.13600000000000001</v>
      </c>
      <c r="F211" s="1845">
        <v>0.1</v>
      </c>
    </row>
    <row r="212" spans="1:6" ht="14.25" thickBot="1">
      <c r="A212" s="1839" t="s">
        <v>1412</v>
      </c>
      <c r="B212" s="1843" t="s">
        <v>2153</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2154</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2155</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2156</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2157</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2158</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2159</v>
      </c>
      <c r="C231" s="1844">
        <v>0.128</v>
      </c>
      <c r="D231" s="1844">
        <v>0.125</v>
      </c>
      <c r="E231" s="1844">
        <v>0.13200000000000001</v>
      </c>
      <c r="F231" s="1852"/>
    </row>
    <row r="232" spans="1:6" ht="14.25" thickBot="1">
      <c r="A232" s="1839" t="s">
        <v>1412</v>
      </c>
      <c r="B232" s="1843" t="s">
        <v>2160</v>
      </c>
      <c r="C232" s="1844">
        <v>0.14499999999999999</v>
      </c>
      <c r="D232" s="1844">
        <v>0.14399999999999999</v>
      </c>
      <c r="E232" s="1844">
        <v>0.14599999999999999</v>
      </c>
      <c r="F232" s="1845">
        <v>0.13800000000000001</v>
      </c>
    </row>
    <row r="233" spans="1:6" ht="14.25" thickBot="1">
      <c r="A233" s="1839" t="s">
        <v>1412</v>
      </c>
      <c r="B233" s="1843" t="s">
        <v>2161</v>
      </c>
      <c r="C233" s="1844">
        <v>0.14499999999999999</v>
      </c>
      <c r="D233" s="1844">
        <v>0.14299999999999999</v>
      </c>
      <c r="E233" s="1844">
        <v>0.14199999999999999</v>
      </c>
      <c r="F233" s="1852"/>
    </row>
    <row r="234" spans="1:6" ht="14.25" thickBot="1">
      <c r="A234" s="1839" t="s">
        <v>1412</v>
      </c>
      <c r="B234" s="1843" t="s">
        <v>2162</v>
      </c>
      <c r="C234" s="1844">
        <v>0.14000000000000001</v>
      </c>
      <c r="D234" s="1844">
        <v>0.14000000000000001</v>
      </c>
      <c r="E234" s="1844">
        <v>0.14399999999999999</v>
      </c>
      <c r="F234" s="1852"/>
    </row>
    <row r="235" spans="1:6" ht="14.25" thickBot="1">
      <c r="A235" s="1839" t="s">
        <v>1412</v>
      </c>
      <c r="B235" s="1843" t="s">
        <v>2163</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2164</v>
      </c>
      <c r="C237" s="1853"/>
      <c r="D237" s="1853"/>
      <c r="E237" s="1853"/>
      <c r="F237" s="1845">
        <v>0.05</v>
      </c>
    </row>
    <row r="238" spans="1:6" ht="24.75" thickBot="1">
      <c r="A238" s="1839" t="s">
        <v>1412</v>
      </c>
      <c r="B238" s="1843" t="s">
        <v>2165</v>
      </c>
      <c r="C238" s="1853"/>
      <c r="D238" s="1853"/>
      <c r="E238" s="1853"/>
      <c r="F238" s="1845">
        <v>0.05</v>
      </c>
    </row>
    <row r="239" spans="1:6" ht="24.75" thickBot="1">
      <c r="A239" s="1839" t="s">
        <v>1412</v>
      </c>
      <c r="B239" s="1843" t="s">
        <v>2166</v>
      </c>
      <c r="C239" s="1853"/>
      <c r="D239" s="1853"/>
      <c r="E239" s="1853"/>
      <c r="F239" s="1845">
        <v>0.05</v>
      </c>
    </row>
    <row r="240" spans="1:6" ht="24.75" thickBot="1">
      <c r="A240" s="1839" t="s">
        <v>1412</v>
      </c>
      <c r="B240" s="1843" t="s">
        <v>2167</v>
      </c>
      <c r="C240" s="1853"/>
      <c r="D240" s="1853"/>
      <c r="E240" s="1853"/>
      <c r="F240" s="1845">
        <v>0.05</v>
      </c>
    </row>
    <row r="241" spans="1:6" ht="24.75" thickBot="1">
      <c r="A241" s="1839" t="s">
        <v>1412</v>
      </c>
      <c r="B241" s="1843" t="s">
        <v>2168</v>
      </c>
      <c r="C241" s="1853"/>
      <c r="D241" s="1853"/>
      <c r="E241" s="1853"/>
      <c r="F241" s="1845">
        <v>0.05</v>
      </c>
    </row>
    <row r="242" spans="1:6" ht="24.75" thickBot="1">
      <c r="A242" s="1839" t="s">
        <v>1412</v>
      </c>
      <c r="B242" s="1843" t="s">
        <v>2169</v>
      </c>
      <c r="C242" s="1853"/>
      <c r="D242" s="1853"/>
      <c r="E242" s="1853"/>
      <c r="F242" s="1845">
        <v>0.05</v>
      </c>
    </row>
    <row r="243" spans="1:6" ht="24.75" thickBot="1">
      <c r="A243" s="1839" t="s">
        <v>1412</v>
      </c>
      <c r="B243" s="1843" t="s">
        <v>2170</v>
      </c>
      <c r="C243" s="1853"/>
      <c r="D243" s="1853"/>
      <c r="E243" s="1853"/>
      <c r="F243" s="1845">
        <v>0.05</v>
      </c>
    </row>
    <row r="244" spans="1:6" ht="24.75" thickBot="1">
      <c r="A244" s="1847" t="s">
        <v>1412</v>
      </c>
      <c r="B244" s="1854" t="s">
        <v>2171</v>
      </c>
      <c r="C244" s="1850"/>
      <c r="D244" s="1850"/>
      <c r="E244" s="1850"/>
      <c r="F244" s="1855">
        <v>0.05</v>
      </c>
    </row>
    <row r="245" spans="1:6" ht="14.25" thickBot="1">
      <c r="A245" s="1839" t="s">
        <v>1414</v>
      </c>
      <c r="B245" s="1840" t="s">
        <v>2172</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2173</v>
      </c>
      <c r="C247" s="1844">
        <v>0.15</v>
      </c>
      <c r="D247" s="1844">
        <v>0.15</v>
      </c>
      <c r="E247" s="1844">
        <v>0.15</v>
      </c>
      <c r="F247" s="1845">
        <v>0.15</v>
      </c>
    </row>
    <row r="248" spans="1:6" ht="14.25" thickBot="1">
      <c r="A248" s="1839" t="s">
        <v>1414</v>
      </c>
      <c r="B248" s="1843" t="s">
        <v>2174</v>
      </c>
      <c r="C248" s="1844">
        <v>0.15</v>
      </c>
      <c r="D248" s="1844">
        <v>0.15</v>
      </c>
      <c r="E248" s="1844">
        <v>0.15</v>
      </c>
      <c r="F248" s="1845">
        <v>0.14000000000000001</v>
      </c>
    </row>
    <row r="249" spans="1:6" ht="14.25" thickBot="1">
      <c r="A249" s="1839" t="s">
        <v>1414</v>
      </c>
      <c r="B249" s="1843" t="s">
        <v>2175</v>
      </c>
      <c r="C249" s="1844">
        <v>0.15</v>
      </c>
      <c r="D249" s="1844">
        <v>0.14899999999999999</v>
      </c>
      <c r="E249" s="1844">
        <v>0.15</v>
      </c>
      <c r="F249" s="1845">
        <v>0.1</v>
      </c>
    </row>
    <row r="250" spans="1:6" ht="14.25" thickBot="1">
      <c r="A250" s="1839" t="s">
        <v>1414</v>
      </c>
      <c r="B250" s="1843" t="s">
        <v>2176</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2177</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2178</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2179</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2180</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2181</v>
      </c>
      <c r="C273" s="1844">
        <v>0.14199999999999999</v>
      </c>
      <c r="D273" s="1844">
        <v>0.14299999999999999</v>
      </c>
      <c r="E273" s="1844">
        <v>0.15</v>
      </c>
      <c r="F273" s="1845">
        <v>0.1</v>
      </c>
    </row>
    <row r="274" spans="1:6" ht="14.25" thickBot="1">
      <c r="A274" s="1839" t="s">
        <v>1414</v>
      </c>
      <c r="B274" s="1843" t="s">
        <v>2182</v>
      </c>
      <c r="C274" s="1844">
        <v>0.14799999999999999</v>
      </c>
      <c r="D274" s="1844">
        <v>0.14799999999999999</v>
      </c>
      <c r="E274" s="1844">
        <v>0.15</v>
      </c>
      <c r="F274" s="1845">
        <v>6.7000000000000004E-2</v>
      </c>
    </row>
    <row r="275" spans="1:6" ht="14.25" thickBot="1">
      <c r="A275" s="1839" t="s">
        <v>1414</v>
      </c>
      <c r="B275" s="1843" t="s">
        <v>2183</v>
      </c>
      <c r="C275" s="1844">
        <v>0.15</v>
      </c>
      <c r="D275" s="1844">
        <v>0.15</v>
      </c>
      <c r="E275" s="1844">
        <v>0.15</v>
      </c>
      <c r="F275" s="1845">
        <v>0.15</v>
      </c>
    </row>
    <row r="276" spans="1:6" ht="14.25" thickBot="1">
      <c r="A276" s="1839" t="s">
        <v>1414</v>
      </c>
      <c r="B276" s="1843" t="s">
        <v>2184</v>
      </c>
      <c r="C276" s="1844">
        <v>0.14499999999999999</v>
      </c>
      <c r="D276" s="1844">
        <v>0.14299999999999999</v>
      </c>
      <c r="E276" s="1844">
        <v>0.15</v>
      </c>
      <c r="F276" s="1845">
        <v>5.8999999999999997E-2</v>
      </c>
    </row>
    <row r="277" spans="1:6" ht="14.25" thickBot="1">
      <c r="A277" s="1839" t="s">
        <v>1414</v>
      </c>
      <c r="B277" s="1843" t="s">
        <v>2185</v>
      </c>
      <c r="C277" s="1844">
        <v>0.15</v>
      </c>
      <c r="D277" s="1844">
        <v>0.15</v>
      </c>
      <c r="E277" s="1844">
        <v>0.15</v>
      </c>
      <c r="F277" s="1845">
        <v>0.121</v>
      </c>
    </row>
    <row r="278" spans="1:6" ht="14.25" thickBot="1">
      <c r="A278" s="1839" t="s">
        <v>1414</v>
      </c>
      <c r="B278" s="1843" t="s">
        <v>2186</v>
      </c>
      <c r="C278" s="1844">
        <v>0.15</v>
      </c>
      <c r="D278" s="1844">
        <v>0.15</v>
      </c>
      <c r="E278" s="1844">
        <v>0.15</v>
      </c>
      <c r="F278" s="1845">
        <v>0.13800000000000001</v>
      </c>
    </row>
    <row r="279" spans="1:6" ht="24.75" thickBot="1">
      <c r="A279" s="1839" t="s">
        <v>1414</v>
      </c>
      <c r="B279" s="1843" t="s">
        <v>2187</v>
      </c>
      <c r="C279" s="1853"/>
      <c r="D279" s="1853"/>
      <c r="E279" s="1853"/>
      <c r="F279" s="1845">
        <v>0.05</v>
      </c>
    </row>
    <row r="280" spans="1:6" ht="24.75" thickBot="1">
      <c r="A280" s="1839" t="s">
        <v>1414</v>
      </c>
      <c r="B280" s="1843" t="s">
        <v>2188</v>
      </c>
      <c r="C280" s="1853"/>
      <c r="D280" s="1853"/>
      <c r="E280" s="1853"/>
      <c r="F280" s="1845">
        <v>0.05</v>
      </c>
    </row>
    <row r="281" spans="1:6" ht="24.75" thickBot="1">
      <c r="A281" s="1839" t="s">
        <v>1414</v>
      </c>
      <c r="B281" s="1843" t="s">
        <v>2189</v>
      </c>
      <c r="C281" s="1853"/>
      <c r="D281" s="1853"/>
      <c r="E281" s="1853"/>
      <c r="F281" s="1845">
        <v>0.05</v>
      </c>
    </row>
    <row r="282" spans="1:6" ht="24.75" thickBot="1">
      <c r="A282" s="1839" t="s">
        <v>1414</v>
      </c>
      <c r="B282" s="1843" t="s">
        <v>2190</v>
      </c>
      <c r="C282" s="1853"/>
      <c r="D282" s="1853"/>
      <c r="E282" s="1853"/>
      <c r="F282" s="1845">
        <v>0.05</v>
      </c>
    </row>
    <row r="283" spans="1:6" ht="24.75" thickBot="1">
      <c r="A283" s="1839" t="s">
        <v>1414</v>
      </c>
      <c r="B283" s="1843" t="s">
        <v>2191</v>
      </c>
      <c r="C283" s="1853"/>
      <c r="D283" s="1853"/>
      <c r="E283" s="1853"/>
      <c r="F283" s="1845">
        <v>0.05</v>
      </c>
    </row>
    <row r="284" spans="1:6" ht="24.75" thickBot="1">
      <c r="A284" s="1839" t="s">
        <v>1414</v>
      </c>
      <c r="B284" s="1843" t="s">
        <v>2192</v>
      </c>
      <c r="C284" s="1853"/>
      <c r="D284" s="1853"/>
      <c r="E284" s="1853"/>
      <c r="F284" s="1845">
        <v>0.05</v>
      </c>
    </row>
    <row r="285" spans="1:6" ht="24.75" thickBot="1">
      <c r="A285" s="1839" t="s">
        <v>1414</v>
      </c>
      <c r="B285" s="1843" t="s">
        <v>2193</v>
      </c>
      <c r="C285" s="1853"/>
      <c r="D285" s="1853"/>
      <c r="E285" s="1853"/>
      <c r="F285" s="1845">
        <v>0.05</v>
      </c>
    </row>
    <row r="286" spans="1:6" ht="24.75" thickBot="1">
      <c r="A286" s="1839" t="s">
        <v>1414</v>
      </c>
      <c r="B286" s="1843" t="s">
        <v>2194</v>
      </c>
      <c r="C286" s="1853"/>
      <c r="D286" s="1853"/>
      <c r="E286" s="1853"/>
      <c r="F286" s="1845">
        <v>0.05</v>
      </c>
    </row>
    <row r="287" spans="1:6" ht="24.75" thickBot="1">
      <c r="A287" s="1839" t="s">
        <v>1414</v>
      </c>
      <c r="B287" s="1843" t="s">
        <v>2195</v>
      </c>
      <c r="C287" s="1853"/>
      <c r="D287" s="1853"/>
      <c r="E287" s="1853"/>
      <c r="F287" s="1845">
        <v>0.05</v>
      </c>
    </row>
    <row r="288" spans="1:6" ht="24.75" thickBot="1">
      <c r="A288" s="1839" t="s">
        <v>1414</v>
      </c>
      <c r="B288" s="1843" t="s">
        <v>2196</v>
      </c>
      <c r="C288" s="1853"/>
      <c r="D288" s="1853"/>
      <c r="E288" s="1853"/>
      <c r="F288" s="1845">
        <v>0.05</v>
      </c>
    </row>
    <row r="289" spans="1:6" ht="24.75" thickBot="1">
      <c r="A289" s="1847" t="s">
        <v>1414</v>
      </c>
      <c r="B289" s="1854" t="s">
        <v>2197</v>
      </c>
      <c r="C289" s="1850"/>
      <c r="D289" s="1850"/>
      <c r="E289" s="1850"/>
      <c r="F289" s="1855">
        <v>0.05</v>
      </c>
    </row>
    <row r="290" spans="1:6" ht="14.25" thickBot="1">
      <c r="A290" s="1839" t="s">
        <v>1418</v>
      </c>
      <c r="B290" s="1840" t="s">
        <v>2198</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2199</v>
      </c>
      <c r="C292" s="1844">
        <v>0.15</v>
      </c>
      <c r="D292" s="1844">
        <v>0.15</v>
      </c>
      <c r="E292" s="1844">
        <v>0.15</v>
      </c>
      <c r="F292" s="1845">
        <v>0.14699999999999999</v>
      </c>
    </row>
    <row r="293" spans="1:6" ht="14.25" thickBot="1">
      <c r="A293" s="1839" t="s">
        <v>1418</v>
      </c>
      <c r="B293" s="1843" t="s">
        <v>2200</v>
      </c>
      <c r="C293" s="1853"/>
      <c r="D293" s="1853"/>
      <c r="E293" s="1853"/>
      <c r="F293" s="1845">
        <v>0.1</v>
      </c>
    </row>
    <row r="294" spans="1:6" ht="14.25" thickBot="1">
      <c r="A294" s="1839" t="s">
        <v>1418</v>
      </c>
      <c r="B294" s="1843" t="s">
        <v>2201</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2202</v>
      </c>
      <c r="C296" s="1844">
        <v>0.15</v>
      </c>
      <c r="D296" s="1844">
        <v>0.15</v>
      </c>
      <c r="E296" s="1844">
        <v>0.15</v>
      </c>
      <c r="F296" s="1845">
        <v>0.15</v>
      </c>
    </row>
    <row r="297" spans="1:6" ht="14.25" thickBot="1">
      <c r="A297" s="1839" t="s">
        <v>1418</v>
      </c>
      <c r="B297" s="1843" t="s">
        <v>2203</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2204</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2205</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2206</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2207</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2208</v>
      </c>
      <c r="C310" s="1844">
        <v>0.15</v>
      </c>
      <c r="D310" s="1844">
        <v>0.15</v>
      </c>
      <c r="E310" s="1844">
        <v>0.15</v>
      </c>
      <c r="F310" s="1845">
        <v>0.13700000000000001</v>
      </c>
    </row>
    <row r="311" spans="1:6" ht="14.25" thickBot="1">
      <c r="A311" s="1839" t="s">
        <v>1418</v>
      </c>
      <c r="B311" s="1843" t="s">
        <v>2209</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2210</v>
      </c>
      <c r="C313" s="1844">
        <v>0.15</v>
      </c>
      <c r="D313" s="1844">
        <v>0.15</v>
      </c>
      <c r="E313" s="1844">
        <v>0.15</v>
      </c>
      <c r="F313" s="1845">
        <v>0.15</v>
      </c>
    </row>
    <row r="314" spans="1:6" ht="24.75" thickBot="1">
      <c r="A314" s="1839" t="s">
        <v>1418</v>
      </c>
      <c r="B314" s="1843" t="s">
        <v>2211</v>
      </c>
      <c r="C314" s="1853"/>
      <c r="D314" s="1853"/>
      <c r="E314" s="1853"/>
      <c r="F314" s="1845">
        <v>0.05</v>
      </c>
    </row>
    <row r="315" spans="1:6" ht="24.75" thickBot="1">
      <c r="A315" s="1839" t="s">
        <v>1418</v>
      </c>
      <c r="B315" s="1843" t="s">
        <v>2212</v>
      </c>
      <c r="C315" s="1853"/>
      <c r="D315" s="1853"/>
      <c r="E315" s="1853"/>
      <c r="F315" s="1845">
        <v>0.05</v>
      </c>
    </row>
    <row r="316" spans="1:6" ht="24.75" thickBot="1">
      <c r="A316" s="1847" t="s">
        <v>1418</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1106</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1175</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1195</v>
      </c>
      <c r="C328" s="1844">
        <v>0.15</v>
      </c>
      <c r="D328" s="1844">
        <v>0.15</v>
      </c>
      <c r="E328" s="1844">
        <v>0.15</v>
      </c>
      <c r="F328" s="1845">
        <v>0.14099999999999999</v>
      </c>
    </row>
    <row r="329" spans="1:6" ht="14.25" thickBot="1">
      <c r="A329" s="1839" t="s">
        <v>2214</v>
      </c>
      <c r="B329" s="1843" t="s">
        <v>1205</v>
      </c>
      <c r="C329" s="1844">
        <v>0.15</v>
      </c>
      <c r="D329" s="1844">
        <v>0.15</v>
      </c>
      <c r="E329" s="1844">
        <v>0.15</v>
      </c>
      <c r="F329" s="1845">
        <v>0.15</v>
      </c>
    </row>
    <row r="330" spans="1:6" ht="14.25" thickBot="1">
      <c r="A330" s="1839" t="s">
        <v>2214</v>
      </c>
      <c r="B330" s="1843" t="s">
        <v>1215</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1235</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1255</v>
      </c>
      <c r="C334" s="1844">
        <v>0.15</v>
      </c>
      <c r="D334" s="1844">
        <v>0.15</v>
      </c>
      <c r="E334" s="1844">
        <v>0.15</v>
      </c>
      <c r="F334" s="1845">
        <v>0.15</v>
      </c>
    </row>
    <row r="335" spans="1:6" ht="14.25" thickBot="1">
      <c r="A335" s="1839" t="s">
        <v>2214</v>
      </c>
      <c r="B335" s="1843" t="s">
        <v>1265</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1283</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6" t="s">
        <v>2571</v>
      </c>
      <c r="C1" s="3456"/>
      <c r="D1" s="3456"/>
      <c r="E1" s="3456"/>
      <c r="F1" s="3456"/>
      <c r="G1" s="3455" t="s">
        <v>2572</v>
      </c>
      <c r="H1" s="3455"/>
      <c r="I1" s="3455"/>
      <c r="J1" s="3455"/>
      <c r="K1" s="3455"/>
      <c r="L1" s="3455"/>
      <c r="N1" s="3455" t="s">
        <v>2573</v>
      </c>
      <c r="O1" s="3455"/>
      <c r="P1" s="3455"/>
      <c r="Q1" s="3455"/>
      <c r="R1" s="2617"/>
      <c r="S1" s="3455" t="s">
        <v>2574</v>
      </c>
      <c r="T1" s="3455"/>
      <c r="U1" s="3455"/>
      <c r="V1" s="3455"/>
      <c r="X1" s="3454" t="s">
        <v>2634</v>
      </c>
      <c r="Y1" s="3455"/>
      <c r="Z1" s="3455"/>
      <c r="AA1" s="3455"/>
      <c r="AB1" s="3455"/>
      <c r="AD1" s="3454" t="s">
        <v>2638</v>
      </c>
      <c r="AE1" s="3455"/>
      <c r="AF1" s="3455"/>
      <c r="AG1" s="3455"/>
      <c r="AH1" s="3455"/>
    </row>
    <row r="2" spans="1:34" s="2718" customFormat="1" ht="14.25" thickBot="1">
      <c r="B2" s="2726" t="s">
        <v>2575</v>
      </c>
      <c r="C2" s="2726" t="s">
        <v>2636</v>
      </c>
      <c r="D2" s="2719" t="s">
        <v>1643</v>
      </c>
      <c r="E2" s="2719" t="s">
        <v>1948</v>
      </c>
      <c r="F2" s="2726" t="s">
        <v>2637</v>
      </c>
      <c r="G2" s="2722"/>
      <c r="H2" s="2721"/>
      <c r="I2" s="2726" t="s">
        <v>2949</v>
      </c>
      <c r="J2" s="2719" t="s">
        <v>2951</v>
      </c>
      <c r="K2" s="2719" t="s">
        <v>2952</v>
      </c>
      <c r="L2" s="2726" t="s">
        <v>2953</v>
      </c>
      <c r="N2" s="2726" t="s">
        <v>2575</v>
      </c>
      <c r="O2" s="2719" t="s">
        <v>2950</v>
      </c>
      <c r="P2" s="2719" t="s">
        <v>1948</v>
      </c>
      <c r="Q2" s="2726" t="s">
        <v>2637</v>
      </c>
      <c r="R2" s="2720"/>
      <c r="S2" s="2726" t="s">
        <v>2575</v>
      </c>
      <c r="T2" s="2719" t="s">
        <v>2950</v>
      </c>
      <c r="U2" s="2719" t="s">
        <v>1948</v>
      </c>
      <c r="V2" s="2726" t="s">
        <v>2637</v>
      </c>
      <c r="X2" s="2726" t="s">
        <v>2575</v>
      </c>
      <c r="Y2" s="2726" t="s">
        <v>2636</v>
      </c>
      <c r="Z2" s="2719" t="s">
        <v>1643</v>
      </c>
      <c r="AA2" s="2719" t="s">
        <v>1948</v>
      </c>
      <c r="AB2" s="2726" t="s">
        <v>2637</v>
      </c>
      <c r="AD2" s="2726" t="s">
        <v>2575</v>
      </c>
      <c r="AE2" s="2726" t="s">
        <v>2636</v>
      </c>
      <c r="AF2" s="2719" t="s">
        <v>1643</v>
      </c>
      <c r="AG2" s="2719" t="s">
        <v>1948</v>
      </c>
      <c r="AH2" s="2726" t="s">
        <v>2637</v>
      </c>
    </row>
    <row r="3" spans="1:34" s="3082" customFormat="1" ht="14.25">
      <c r="A3" s="3094" t="s">
        <v>2962</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2985</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2963</v>
      </c>
      <c r="X5" s="3069">
        <f>ROUND(IF(项目基本情况!B8="出让",SUMPRODUCT(PRODUCT(1+N5:N$26)),SUMPRODUCT(PRODUCT(1+N5:N$25))),4)</f>
        <v>1.5189999999999999</v>
      </c>
      <c r="Y5" s="3069">
        <f>ROUND(IF(项目基本情况!B8="出让",SUMPRODUCT(PRODUCT(1+O5:O$26)),SUMPRODUCT(PRODUCT(1+O5:O$25))),4)</f>
        <v>1.3423</v>
      </c>
      <c r="Z5" s="3069">
        <f t="shared" ref="Z5" si="11">Y5</f>
        <v>1.3423</v>
      </c>
      <c r="AA5" s="3069">
        <f>ROUND(IF(项目基本情况!B8="出让",SUMPRODUCT(PRODUCT(1+P5:P$26)),SUMPRODUCT(PRODUCT(1+P5:P$25))),4)</f>
        <v>1.5782</v>
      </c>
      <c r="AB5" s="3069">
        <f>ROUND(IF(项目基本情况!B8="出让",SUMPRODUCT(PRODUCT(1+Q5:Q$26)),SUMPRODUCT(PRODUCT(1+Q5:Q$25))),4)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2986</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2982</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50">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2972</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50"/>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2973</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50"/>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2969</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1"/>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2960</v>
      </c>
      <c r="B11" s="3096">
        <v>439</v>
      </c>
      <c r="C11" s="3096">
        <v>327</v>
      </c>
      <c r="D11" s="3096">
        <f t="shared" si="54"/>
        <v>327</v>
      </c>
      <c r="E11" s="3096">
        <v>627</v>
      </c>
      <c r="F11" s="3097">
        <v>283</v>
      </c>
      <c r="G11" s="3449">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2964</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50"/>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2576</v>
      </c>
      <c r="B13" s="2631">
        <f t="shared" si="66"/>
        <v>419.31181600000002</v>
      </c>
      <c r="C13" s="2631">
        <f t="shared" si="66"/>
        <v>313.95436800000004</v>
      </c>
      <c r="D13" s="2631">
        <f t="shared" si="54"/>
        <v>313.95436800000004</v>
      </c>
      <c r="E13" s="2631">
        <f t="shared" si="67"/>
        <v>596.63028431999999</v>
      </c>
      <c r="F13" s="2631">
        <f t="shared" si="67"/>
        <v>274.74220703999998</v>
      </c>
      <c r="G13" s="3450"/>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2577</v>
      </c>
      <c r="B14" s="2631">
        <f t="shared" si="66"/>
        <v>405.524</v>
      </c>
      <c r="C14" s="2631">
        <f t="shared" si="66"/>
        <v>307.79840000000002</v>
      </c>
      <c r="D14" s="2631">
        <f t="shared" si="54"/>
        <v>307.79840000000002</v>
      </c>
      <c r="E14" s="2631">
        <f t="shared" si="67"/>
        <v>574.67759999999998</v>
      </c>
      <c r="F14" s="2631">
        <f t="shared" si="67"/>
        <v>270.20280000000002</v>
      </c>
      <c r="G14" s="3451"/>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49">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50"/>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50"/>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53"/>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52">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50"/>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50"/>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53"/>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52">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50"/>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50"/>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53"/>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2635</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2578</v>
      </c>
      <c r="B27" s="2623">
        <v>299</v>
      </c>
      <c r="C27" s="2623">
        <v>252</v>
      </c>
      <c r="D27" s="2623">
        <f t="shared" si="76"/>
        <v>252</v>
      </c>
      <c r="E27" s="2623">
        <v>409</v>
      </c>
      <c r="F27" s="2624">
        <v>227</v>
      </c>
      <c r="G27" s="3457">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2579</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8"/>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2580</v>
      </c>
      <c r="B29" s="2631">
        <f t="shared" si="85"/>
        <v>288.2649053828776</v>
      </c>
      <c r="C29" s="2631">
        <f t="shared" si="85"/>
        <v>243.64564425013293</v>
      </c>
      <c r="D29" s="2631">
        <f t="shared" si="76"/>
        <v>243.64564425013293</v>
      </c>
      <c r="E29" s="2631">
        <f t="shared" si="86"/>
        <v>393.31080825986544</v>
      </c>
      <c r="F29" s="2631">
        <f t="shared" si="86"/>
        <v>223.07903790551154</v>
      </c>
      <c r="G29" s="3458"/>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2581</v>
      </c>
      <c r="B30" s="2631">
        <f t="shared" si="85"/>
        <v>282.50186729015837</v>
      </c>
      <c r="C30" s="2631">
        <f t="shared" si="85"/>
        <v>238.09796174155468</v>
      </c>
      <c r="D30" s="2631">
        <f t="shared" si="76"/>
        <v>238.09796174155468</v>
      </c>
      <c r="E30" s="2631">
        <f t="shared" si="86"/>
        <v>385.33438646014054</v>
      </c>
      <c r="F30" s="2631">
        <f t="shared" si="86"/>
        <v>221.55034055567739</v>
      </c>
      <c r="G30" s="3459"/>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2582</v>
      </c>
      <c r="B31" s="2661">
        <v>278</v>
      </c>
      <c r="C31" s="2661">
        <v>234</v>
      </c>
      <c r="D31" s="2661">
        <f t="shared" si="76"/>
        <v>234</v>
      </c>
      <c r="E31" s="2661">
        <v>379</v>
      </c>
      <c r="F31" s="2662">
        <v>220</v>
      </c>
      <c r="G31" s="3452">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2583</v>
      </c>
      <c r="B32" s="2631">
        <f>B31/(1+N31)</f>
        <v>275.49301357645425</v>
      </c>
      <c r="C32" s="2631">
        <f>C31/(1+O31)</f>
        <v>232.41954707985698</v>
      </c>
      <c r="D32" s="2631">
        <f t="shared" si="76"/>
        <v>232.41954707985698</v>
      </c>
      <c r="E32" s="2631">
        <f t="shared" ref="E32:F34" si="87">E31/(1+P31)</f>
        <v>375.32184591008121</v>
      </c>
      <c r="F32" s="2631">
        <f t="shared" si="87"/>
        <v>218.03766105054513</v>
      </c>
      <c r="G32" s="3450"/>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2584</v>
      </c>
      <c r="B33" s="2631">
        <f>B32/(1+N32)</f>
        <v>275.24529281292263</v>
      </c>
      <c r="C33" s="2631">
        <f>C32/(1+O32)</f>
        <v>231.74747938962707</v>
      </c>
      <c r="D33" s="2631">
        <f t="shared" si="76"/>
        <v>231.74747938962707</v>
      </c>
      <c r="E33" s="2631">
        <f t="shared" si="87"/>
        <v>375.35938184826603</v>
      </c>
      <c r="F33" s="2631">
        <f t="shared" si="87"/>
        <v>216.78033510692495</v>
      </c>
      <c r="G33" s="3450"/>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2585</v>
      </c>
      <c r="B34" s="2631">
        <f>B33/(1+N33)</f>
        <v>275.19025476197027</v>
      </c>
      <c r="C34" s="2663">
        <v>232</v>
      </c>
      <c r="D34" s="2663">
        <f t="shared" si="76"/>
        <v>232</v>
      </c>
      <c r="E34" s="2631">
        <f t="shared" si="87"/>
        <v>375.65990977608692</v>
      </c>
      <c r="F34" s="2631">
        <f t="shared" si="87"/>
        <v>214.12518283971252</v>
      </c>
      <c r="G34" s="3453"/>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2586</v>
      </c>
      <c r="B35" s="2623">
        <v>275</v>
      </c>
      <c r="C35" s="2623">
        <v>232</v>
      </c>
      <c r="D35" s="2623">
        <f t="shared" si="76"/>
        <v>232</v>
      </c>
      <c r="E35" s="2623">
        <v>376</v>
      </c>
      <c r="F35" s="2624">
        <v>213</v>
      </c>
      <c r="G35" s="3452">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2587</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50">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2588</v>
      </c>
      <c r="B37" s="2631">
        <f t="shared" si="88"/>
        <v>275.19335084830601</v>
      </c>
      <c r="C37" s="2631">
        <f t="shared" si="88"/>
        <v>230.18088050139744</v>
      </c>
      <c r="D37" s="2631">
        <f t="shared" si="76"/>
        <v>230.18088050139744</v>
      </c>
      <c r="E37" s="2631">
        <f t="shared" si="89"/>
        <v>377.58482925212331</v>
      </c>
      <c r="F37" s="2631">
        <f t="shared" si="89"/>
        <v>210.90687997847917</v>
      </c>
      <c r="G37" s="3450">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2589</v>
      </c>
      <c r="B38" s="2631">
        <f t="shared" si="88"/>
        <v>276.29854502841971</v>
      </c>
      <c r="C38" s="2631">
        <f t="shared" si="88"/>
        <v>229.79023709833027</v>
      </c>
      <c r="D38" s="2631">
        <f t="shared" si="76"/>
        <v>229.79023709833027</v>
      </c>
      <c r="E38" s="2631">
        <f t="shared" si="89"/>
        <v>379.78759731655936</v>
      </c>
      <c r="F38" s="2631">
        <f t="shared" si="89"/>
        <v>211.32953905659235</v>
      </c>
      <c r="G38" s="3453">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2590</v>
      </c>
      <c r="B39" s="2623">
        <v>269</v>
      </c>
      <c r="C39" s="2623">
        <v>221</v>
      </c>
      <c r="D39" s="2623">
        <f t="shared" si="76"/>
        <v>221</v>
      </c>
      <c r="E39" s="2623">
        <v>373</v>
      </c>
      <c r="F39" s="2624">
        <v>196</v>
      </c>
      <c r="G39" s="3452">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2591</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50">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2592</v>
      </c>
      <c r="B41" s="2631">
        <f t="shared" si="90"/>
        <v>242.95398227588385</v>
      </c>
      <c r="C41" s="2631">
        <f t="shared" si="90"/>
        <v>199.59137053614126</v>
      </c>
      <c r="D41" s="2631">
        <f t="shared" si="76"/>
        <v>199.59137053614126</v>
      </c>
      <c r="E41" s="2631">
        <f t="shared" si="91"/>
        <v>335.92189522342125</v>
      </c>
      <c r="F41" s="2631">
        <f t="shared" si="91"/>
        <v>183.10139991109489</v>
      </c>
      <c r="G41" s="3450">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2593</v>
      </c>
      <c r="B42" s="2631">
        <f t="shared" si="90"/>
        <v>232.06990378821649</v>
      </c>
      <c r="C42" s="2631">
        <f t="shared" si="90"/>
        <v>192.74878854286936</v>
      </c>
      <c r="D42" s="2631">
        <f t="shared" si="76"/>
        <v>192.74878854286936</v>
      </c>
      <c r="E42" s="2631">
        <f t="shared" si="91"/>
        <v>319.71247284992984</v>
      </c>
      <c r="F42" s="2631">
        <f t="shared" si="91"/>
        <v>175.67053622862409</v>
      </c>
      <c r="G42" s="3453">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2594</v>
      </c>
      <c r="B43" s="2623">
        <v>220</v>
      </c>
      <c r="C43" s="2623">
        <v>187</v>
      </c>
      <c r="D43" s="2623">
        <f t="shared" si="76"/>
        <v>187</v>
      </c>
      <c r="E43" s="2623">
        <v>301</v>
      </c>
      <c r="F43" s="2624">
        <v>168</v>
      </c>
      <c r="G43" s="3452">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2595</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50">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2596</v>
      </c>
      <c r="B45" s="2631">
        <f t="shared" si="92"/>
        <v>210.630522469011</v>
      </c>
      <c r="C45" s="2631">
        <f t="shared" si="92"/>
        <v>181.69567812247232</v>
      </c>
      <c r="D45" s="2631">
        <f t="shared" si="76"/>
        <v>181.69567812247232</v>
      </c>
      <c r="E45" s="2631">
        <f t="shared" si="93"/>
        <v>286.13517466736738</v>
      </c>
      <c r="F45" s="2631">
        <f t="shared" si="93"/>
        <v>165.47535084591149</v>
      </c>
      <c r="G45" s="3450">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2597</v>
      </c>
      <c r="B46" s="2631">
        <f t="shared" si="92"/>
        <v>208.83454537875372</v>
      </c>
      <c r="C46" s="2631">
        <f t="shared" si="92"/>
        <v>183.77230517090351</v>
      </c>
      <c r="D46" s="2631">
        <f t="shared" si="76"/>
        <v>183.77230517090351</v>
      </c>
      <c r="E46" s="2631">
        <f t="shared" si="93"/>
        <v>281.10342338870947</v>
      </c>
      <c r="F46" s="2631">
        <f t="shared" si="93"/>
        <v>168.97309388942256</v>
      </c>
      <c r="G46" s="3453">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2598</v>
      </c>
      <c r="B47" s="2661">
        <v>214</v>
      </c>
      <c r="C47" s="2661">
        <v>188</v>
      </c>
      <c r="D47" s="2661">
        <f t="shared" si="76"/>
        <v>188</v>
      </c>
      <c r="E47" s="2661">
        <v>289</v>
      </c>
      <c r="F47" s="2662">
        <v>166</v>
      </c>
      <c r="G47" s="3452">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2599</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50">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2600</v>
      </c>
      <c r="B49" s="2631">
        <f t="shared" si="94"/>
        <v>206.31694671589116</v>
      </c>
      <c r="C49" s="2631">
        <f t="shared" si="94"/>
        <v>183.61041121036101</v>
      </c>
      <c r="D49" s="2631">
        <f t="shared" si="76"/>
        <v>183.61041121036101</v>
      </c>
      <c r="E49" s="2631">
        <f t="shared" si="95"/>
        <v>276.66850301795557</v>
      </c>
      <c r="F49" s="2631">
        <f t="shared" si="95"/>
        <v>165.1360938278614</v>
      </c>
      <c r="G49" s="3450">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2601</v>
      </c>
      <c r="B50" s="2664">
        <f t="shared" si="94"/>
        <v>196.62341248059772</v>
      </c>
      <c r="C50" s="2664">
        <f t="shared" si="94"/>
        <v>170.99125648199012</v>
      </c>
      <c r="D50" s="2664">
        <f t="shared" si="76"/>
        <v>170.99125648199012</v>
      </c>
      <c r="E50" s="2664">
        <f t="shared" si="95"/>
        <v>266.07857570490052</v>
      </c>
      <c r="F50" s="2664">
        <f t="shared" si="95"/>
        <v>154.53499328828505</v>
      </c>
      <c r="G50" s="3453">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2602</v>
      </c>
      <c r="B51" s="2623">
        <v>188</v>
      </c>
      <c r="C51" s="2623">
        <v>165</v>
      </c>
      <c r="D51" s="2623">
        <f t="shared" si="76"/>
        <v>165</v>
      </c>
      <c r="E51" s="2623">
        <v>254</v>
      </c>
      <c r="F51" s="2624">
        <v>148</v>
      </c>
      <c r="G51" s="3452">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2603</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50">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2604</v>
      </c>
      <c r="B53" s="2631">
        <f t="shared" si="98"/>
        <v>168.82017748715555</v>
      </c>
      <c r="C53" s="2631">
        <f t="shared" si="98"/>
        <v>148.06267029972753</v>
      </c>
      <c r="D53" s="2631">
        <f t="shared" si="76"/>
        <v>148.06267029972753</v>
      </c>
      <c r="E53" s="2631">
        <f t="shared" si="99"/>
        <v>216.46288379323747</v>
      </c>
      <c r="F53" s="2631">
        <f t="shared" si="99"/>
        <v>134.23529411764704</v>
      </c>
      <c r="G53" s="3450">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2605</v>
      </c>
      <c r="B54" s="2631">
        <f t="shared" si="98"/>
        <v>163.84913591779542</v>
      </c>
      <c r="C54" s="2631">
        <f t="shared" si="98"/>
        <v>145.0283378746594</v>
      </c>
      <c r="D54" s="2631">
        <f t="shared" si="76"/>
        <v>145.0283378746594</v>
      </c>
      <c r="E54" s="2631">
        <f t="shared" si="99"/>
        <v>204.95180722891567</v>
      </c>
      <c r="F54" s="2631">
        <f t="shared" si="99"/>
        <v>125.95920303605313</v>
      </c>
      <c r="G54" s="3453">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2606</v>
      </c>
      <c r="B55" s="2645">
        <v>159</v>
      </c>
      <c r="C55" s="2645">
        <v>141</v>
      </c>
      <c r="D55" s="2645">
        <f t="shared" si="76"/>
        <v>141</v>
      </c>
      <c r="E55" s="2645">
        <v>195</v>
      </c>
      <c r="F55" s="2646">
        <v>122</v>
      </c>
      <c r="G55" s="3452">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2607</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50">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2608</v>
      </c>
      <c r="B57" s="2631">
        <f t="shared" si="102"/>
        <v>146.57412060301507</v>
      </c>
      <c r="C57" s="2631">
        <f t="shared" si="102"/>
        <v>136.46831955922866</v>
      </c>
      <c r="D57" s="2631">
        <f t="shared" si="76"/>
        <v>136.46831955922866</v>
      </c>
      <c r="E57" s="2631">
        <f t="shared" si="103"/>
        <v>166.73864894795128</v>
      </c>
      <c r="F57" s="2631">
        <f t="shared" si="103"/>
        <v>115.05882352941177</v>
      </c>
      <c r="G57" s="3450">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2609</v>
      </c>
      <c r="B58" s="2631">
        <f t="shared" si="102"/>
        <v>144.04145728643215</v>
      </c>
      <c r="C58" s="2631">
        <f t="shared" si="102"/>
        <v>136.12396694214877</v>
      </c>
      <c r="D58" s="2631">
        <f t="shared" si="76"/>
        <v>136.12396694214877</v>
      </c>
      <c r="E58" s="2631">
        <f t="shared" si="103"/>
        <v>158.32225913621264</v>
      </c>
      <c r="F58" s="2631">
        <f t="shared" si="103"/>
        <v>114.04278074866311</v>
      </c>
      <c r="G58" s="3453">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2610</v>
      </c>
      <c r="B59" s="2645">
        <v>138</v>
      </c>
      <c r="C59" s="2645">
        <v>131</v>
      </c>
      <c r="D59" s="2645">
        <f t="shared" si="76"/>
        <v>131</v>
      </c>
      <c r="E59" s="2645">
        <v>155</v>
      </c>
      <c r="F59" s="2646">
        <v>114</v>
      </c>
      <c r="G59" s="3452">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2611</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50">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2612</v>
      </c>
      <c r="B61" s="2631">
        <f t="shared" si="106"/>
        <v>124.29032258064517</v>
      </c>
      <c r="C61" s="2631">
        <f t="shared" si="106"/>
        <v>123.8968609865471</v>
      </c>
      <c r="D61" s="2631">
        <f t="shared" si="76"/>
        <v>123.8968609865471</v>
      </c>
      <c r="E61" s="2631">
        <f t="shared" si="107"/>
        <v>138.00507614213197</v>
      </c>
      <c r="F61" s="2631">
        <f t="shared" si="107"/>
        <v>107.96106557377048</v>
      </c>
      <c r="G61" s="3450">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2613</v>
      </c>
      <c r="B62" s="2631">
        <f t="shared" si="106"/>
        <v>122.57204301075269</v>
      </c>
      <c r="C62" s="2631">
        <f t="shared" si="106"/>
        <v>123.4932735426009</v>
      </c>
      <c r="D62" s="2631">
        <f t="shared" si="76"/>
        <v>123.4932735426009</v>
      </c>
      <c r="E62" s="2631">
        <f t="shared" si="107"/>
        <v>129.82233502538071</v>
      </c>
      <c r="F62" s="2631">
        <f t="shared" si="107"/>
        <v>107.39446721311475</v>
      </c>
      <c r="G62" s="3453">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2614</v>
      </c>
      <c r="B63" s="2661">
        <v>121</v>
      </c>
      <c r="C63" s="2661">
        <v>122</v>
      </c>
      <c r="D63" s="2661">
        <f t="shared" si="76"/>
        <v>122</v>
      </c>
      <c r="E63" s="2661">
        <v>124</v>
      </c>
      <c r="F63" s="2662">
        <v>107</v>
      </c>
      <c r="G63" s="3452">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2615</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50">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2616</v>
      </c>
      <c r="B65" s="2631">
        <f t="shared" si="110"/>
        <v>116.99099099099099</v>
      </c>
      <c r="C65" s="2631">
        <f t="shared" si="110"/>
        <v>118.84848484848486</v>
      </c>
      <c r="D65" s="2631">
        <f t="shared" si="76"/>
        <v>118.84848484848486</v>
      </c>
      <c r="E65" s="2631">
        <f t="shared" si="111"/>
        <v>117.60960960960961</v>
      </c>
      <c r="F65" s="2631">
        <f t="shared" si="111"/>
        <v>104</v>
      </c>
      <c r="G65" s="3450">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2617</v>
      </c>
      <c r="B66" s="2664">
        <f t="shared" si="110"/>
        <v>112.48648648648648</v>
      </c>
      <c r="C66" s="2664">
        <f t="shared" si="110"/>
        <v>115.21212121212122</v>
      </c>
      <c r="D66" s="2664">
        <f t="shared" si="76"/>
        <v>115.21212121212122</v>
      </c>
      <c r="E66" s="2664">
        <f t="shared" si="111"/>
        <v>110.4024024024024</v>
      </c>
      <c r="F66" s="2664">
        <f t="shared" si="111"/>
        <v>104</v>
      </c>
      <c r="G66" s="3453">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2618</v>
      </c>
      <c r="B67" s="2682">
        <v>111</v>
      </c>
      <c r="C67" s="2682">
        <v>114</v>
      </c>
      <c r="D67" s="2682">
        <f t="shared" si="76"/>
        <v>114</v>
      </c>
      <c r="E67" s="2682">
        <v>108</v>
      </c>
      <c r="F67" s="2683">
        <v>104</v>
      </c>
      <c r="G67" s="3452">
        <v>2003</v>
      </c>
      <c r="H67" s="2672">
        <v>4</v>
      </c>
      <c r="I67" s="2684"/>
      <c r="J67" s="2684"/>
      <c r="K67" s="2684"/>
      <c r="L67" s="2684"/>
      <c r="N67" s="2685"/>
      <c r="O67" s="2684"/>
      <c r="P67" s="2684"/>
      <c r="Q67" s="2684"/>
      <c r="S67" s="2685"/>
      <c r="T67" s="2684"/>
      <c r="U67" s="2684"/>
      <c r="V67" s="2684"/>
      <c r="X67" s="2676"/>
      <c r="Y67" s="2676"/>
      <c r="Z67" s="2676"/>
    </row>
    <row r="68" spans="1:26">
      <c r="A68" s="2618" t="s">
        <v>2619</v>
      </c>
      <c r="B68" s="2686">
        <f t="shared" ref="B68:C70" si="112">B69+(B$67-B$71)/4</f>
        <v>109.75</v>
      </c>
      <c r="C68" s="2686">
        <f t="shared" si="112"/>
        <v>112.25</v>
      </c>
      <c r="D68" s="2686">
        <f t="shared" si="76"/>
        <v>112.25</v>
      </c>
      <c r="E68" s="2686">
        <f t="shared" ref="E68:F70" si="113">E69+(E$67-E$71)/4</f>
        <v>107.25</v>
      </c>
      <c r="F68" s="2686">
        <f t="shared" si="113"/>
        <v>103.5</v>
      </c>
      <c r="G68" s="3450">
        <v>2003</v>
      </c>
      <c r="H68" s="2642">
        <v>3</v>
      </c>
      <c r="I68" s="2684"/>
      <c r="J68" s="2684"/>
      <c r="K68" s="2684"/>
      <c r="L68" s="2684"/>
      <c r="X68" s="2676"/>
      <c r="Y68" s="2676"/>
      <c r="Z68" s="2676"/>
    </row>
    <row r="69" spans="1:26">
      <c r="A69" s="2618" t="s">
        <v>2620</v>
      </c>
      <c r="B69" s="2686">
        <f t="shared" si="112"/>
        <v>108.5</v>
      </c>
      <c r="C69" s="2686">
        <f t="shared" si="112"/>
        <v>110.5</v>
      </c>
      <c r="D69" s="2686">
        <f t="shared" si="76"/>
        <v>110.5</v>
      </c>
      <c r="E69" s="2686">
        <f t="shared" si="113"/>
        <v>106.5</v>
      </c>
      <c r="F69" s="2686">
        <f t="shared" si="113"/>
        <v>103</v>
      </c>
      <c r="G69" s="3450">
        <v>2003</v>
      </c>
      <c r="H69" s="2622">
        <v>2</v>
      </c>
      <c r="I69" s="2684"/>
      <c r="J69" s="2684"/>
      <c r="K69" s="2684"/>
      <c r="L69" s="2684"/>
      <c r="X69" s="2676"/>
      <c r="Y69" s="2676"/>
      <c r="Z69" s="2676"/>
    </row>
    <row r="70" spans="1:26" ht="13.5" thickBot="1">
      <c r="A70" s="2618" t="s">
        <v>2621</v>
      </c>
      <c r="B70" s="2686">
        <f t="shared" si="112"/>
        <v>107.25</v>
      </c>
      <c r="C70" s="2686">
        <f t="shared" si="112"/>
        <v>108.75</v>
      </c>
      <c r="D70" s="2686">
        <f t="shared" si="76"/>
        <v>108.75</v>
      </c>
      <c r="E70" s="2686">
        <f t="shared" si="113"/>
        <v>105.75</v>
      </c>
      <c r="F70" s="2686">
        <f t="shared" si="113"/>
        <v>102.5</v>
      </c>
      <c r="G70" s="3453">
        <v>2003</v>
      </c>
      <c r="H70" s="2687">
        <v>1</v>
      </c>
      <c r="I70" s="2684"/>
      <c r="J70" s="2684"/>
      <c r="K70" s="2684"/>
      <c r="L70" s="2684"/>
      <c r="S70" s="2626"/>
      <c r="T70" s="2627"/>
      <c r="U70" s="2627"/>
      <c r="X70" s="2676"/>
      <c r="Y70" s="2676"/>
      <c r="Z70" s="2676"/>
    </row>
    <row r="71" spans="1:26" ht="13.5" thickBot="1">
      <c r="A71" s="2618" t="s">
        <v>2622</v>
      </c>
      <c r="B71" s="2688">
        <v>106</v>
      </c>
      <c r="C71" s="2688">
        <v>107</v>
      </c>
      <c r="D71" s="2688">
        <f t="shared" si="76"/>
        <v>107</v>
      </c>
      <c r="E71" s="2688">
        <v>105</v>
      </c>
      <c r="F71" s="2689">
        <v>102</v>
      </c>
      <c r="G71" s="3452">
        <v>2002</v>
      </c>
      <c r="H71" s="2637">
        <v>4</v>
      </c>
      <c r="I71" s="2684"/>
      <c r="J71" s="2684"/>
      <c r="K71" s="2684"/>
      <c r="L71" s="2684"/>
      <c r="N71" s="2685"/>
      <c r="O71" s="2684"/>
      <c r="P71" s="2684"/>
      <c r="Q71" s="2684"/>
      <c r="S71" s="2685"/>
      <c r="T71" s="2684"/>
      <c r="U71" s="2684"/>
      <c r="V71" s="2684"/>
      <c r="X71" s="2676"/>
      <c r="Y71" s="2676"/>
      <c r="Z71" s="2676"/>
    </row>
    <row r="72" spans="1:26">
      <c r="A72" s="2618" t="s">
        <v>2623</v>
      </c>
      <c r="B72" s="2686">
        <f t="shared" ref="B72:C74" si="114">B73+(B$71-B$75)/4</f>
        <v>105</v>
      </c>
      <c r="C72" s="2686">
        <f t="shared" si="114"/>
        <v>106</v>
      </c>
      <c r="D72" s="2686">
        <f t="shared" si="76"/>
        <v>106</v>
      </c>
      <c r="E72" s="2686">
        <f t="shared" ref="E72:F74" si="115">E73+(E$71-E$75)/4</f>
        <v>104.5</v>
      </c>
      <c r="F72" s="2686">
        <f t="shared" si="115"/>
        <v>101.5</v>
      </c>
      <c r="G72" s="3450">
        <v>2002</v>
      </c>
      <c r="H72" s="2642">
        <v>3</v>
      </c>
      <c r="I72" s="2684"/>
      <c r="J72" s="2684"/>
      <c r="K72" s="2684"/>
      <c r="L72" s="2684"/>
      <c r="X72" s="2676"/>
      <c r="Y72" s="2676"/>
      <c r="Z72" s="2676"/>
    </row>
    <row r="73" spans="1:26">
      <c r="A73" s="2618" t="s">
        <v>2624</v>
      </c>
      <c r="B73" s="2686">
        <f t="shared" si="114"/>
        <v>104</v>
      </c>
      <c r="C73" s="2686">
        <f t="shared" si="114"/>
        <v>105</v>
      </c>
      <c r="D73" s="2686">
        <f t="shared" si="76"/>
        <v>105</v>
      </c>
      <c r="E73" s="2686">
        <f t="shared" si="115"/>
        <v>104</v>
      </c>
      <c r="F73" s="2686">
        <f t="shared" si="115"/>
        <v>101</v>
      </c>
      <c r="G73" s="3450">
        <v>2002</v>
      </c>
      <c r="H73" s="2622">
        <v>2</v>
      </c>
      <c r="I73" s="2684"/>
      <c r="J73" s="2684"/>
      <c r="K73" s="2684"/>
      <c r="L73" s="2684"/>
      <c r="X73" s="2676"/>
      <c r="Y73" s="2676"/>
      <c r="Z73" s="2676"/>
    </row>
    <row r="74" spans="1:26" s="2653" customFormat="1" ht="13.5" thickBot="1">
      <c r="A74" s="2649" t="s">
        <v>2625</v>
      </c>
      <c r="B74" s="2690">
        <f t="shared" si="114"/>
        <v>103</v>
      </c>
      <c r="C74" s="2690">
        <f t="shared" si="114"/>
        <v>104</v>
      </c>
      <c r="D74" s="2690">
        <f t="shared" si="76"/>
        <v>104</v>
      </c>
      <c r="E74" s="2690">
        <f t="shared" si="115"/>
        <v>103.5</v>
      </c>
      <c r="F74" s="2690">
        <f t="shared" si="115"/>
        <v>100.5</v>
      </c>
      <c r="G74" s="3453">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2626</v>
      </c>
      <c r="G77" s="2700"/>
      <c r="N77" s="2700"/>
      <c r="S77" s="2700"/>
    </row>
    <row r="78" spans="1:26" s="2699" customFormat="1">
      <c r="A78" s="2699" t="s">
        <v>2627</v>
      </c>
      <c r="G78" s="2700"/>
      <c r="N78" s="2700"/>
      <c r="S78" s="2700"/>
    </row>
    <row r="79" spans="1:26" s="2699" customFormat="1">
      <c r="A79" s="2699" t="s">
        <v>2628</v>
      </c>
      <c r="G79" s="2700"/>
      <c r="I79" s="2701"/>
      <c r="J79" s="2701"/>
      <c r="K79" s="2701"/>
      <c r="L79" s="2701"/>
      <c r="N79" s="2702"/>
      <c r="O79" s="2701"/>
      <c r="P79" s="2701"/>
      <c r="Q79" s="2701"/>
      <c r="S79" s="2702"/>
      <c r="T79" s="2701"/>
      <c r="U79" s="2701"/>
      <c r="V79" s="2701"/>
    </row>
    <row r="80" spans="1:26" s="2699" customFormat="1">
      <c r="A80" s="2699" t="s">
        <v>2629</v>
      </c>
      <c r="G80" s="2700"/>
      <c r="N80" s="2700"/>
      <c r="S80" s="2700"/>
    </row>
    <row r="87" spans="7:22" ht="13.5" thickBot="1"/>
    <row r="88" spans="7:22">
      <c r="G88" s="2625"/>
      <c r="S88" s="2703" t="s">
        <v>2630</v>
      </c>
      <c r="T88" s="2704" t="s">
        <v>2631</v>
      </c>
      <c r="U88" s="2704" t="s">
        <v>2632</v>
      </c>
      <c r="V88" s="2704" t="s">
        <v>2633</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B6" sqref="AB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2942</v>
      </c>
      <c r="B1" s="3056"/>
      <c r="C1" s="3056"/>
      <c r="D1" s="3056"/>
      <c r="E1" s="3056"/>
      <c r="F1" s="3056"/>
    </row>
    <row r="2" spans="1:6" ht="14.25">
      <c r="A2" s="3057" t="s">
        <v>2937</v>
      </c>
      <c r="B2" s="3058" t="e">
        <f ca="1">SUMIF(B7:B14,"&lt;&gt;#ref!",B7:B14)</f>
        <v>#DIV/0!</v>
      </c>
      <c r="C2" s="3057" t="s">
        <v>2938</v>
      </c>
      <c r="D2" s="3056"/>
      <c r="E2" s="3056"/>
      <c r="F2" s="3056"/>
    </row>
    <row r="3" spans="1:6" ht="14.25">
      <c r="A3" s="3057" t="s">
        <v>2970</v>
      </c>
      <c r="B3" s="3058" t="e">
        <f ca="1">ROUND(B2*10000/E3,0)</f>
        <v>#DIV/0!</v>
      </c>
      <c r="C3" s="3057" t="s">
        <v>2076</v>
      </c>
      <c r="D3" s="3057" t="s">
        <v>2939</v>
      </c>
      <c r="E3" s="3058">
        <f ca="1">SUMIF(E7:E14,"&lt;&gt;#ref!",E7:E14)</f>
        <v>0</v>
      </c>
      <c r="F3" s="3056"/>
    </row>
    <row r="4" spans="1:6" ht="14.25">
      <c r="A4" s="3057" t="s">
        <v>2946</v>
      </c>
      <c r="B4" s="3058" t="e">
        <f ca="1">ROUND(B2*10000/E4,0)</f>
        <v>#DIV/0!</v>
      </c>
      <c r="C4" s="3057" t="s">
        <v>2076</v>
      </c>
      <c r="D4" s="3057" t="s">
        <v>2947</v>
      </c>
      <c r="E4" s="3058">
        <f ca="1">SUMIF(F7:F14,"&lt;&gt;#ref!",F7:F14)</f>
        <v>0</v>
      </c>
      <c r="F4" s="3056"/>
    </row>
    <row r="5" spans="1:6" ht="14.25">
      <c r="A5" s="3059"/>
      <c r="B5" s="1865"/>
      <c r="C5" s="1865"/>
      <c r="D5" s="1865"/>
      <c r="E5" s="1865"/>
      <c r="F5" s="3056"/>
    </row>
    <row r="6" spans="1:6" ht="28.5">
      <c r="A6" s="3060" t="s">
        <v>2943</v>
      </c>
      <c r="B6" s="3057" t="s">
        <v>2940</v>
      </c>
      <c r="C6" s="3058"/>
      <c r="D6" s="1865"/>
      <c r="E6" s="3057" t="s">
        <v>2941</v>
      </c>
      <c r="F6" s="3057" t="s">
        <v>2945</v>
      </c>
    </row>
    <row r="7" spans="1:6" ht="14.25">
      <c r="A7" s="260" t="s">
        <v>2944</v>
      </c>
      <c r="B7" s="3061" t="e">
        <f ca="1">SUMIF(INDIRECT("'"&amp;A7&amp;"'"&amp;"!A:A"),"总价",INDIRECT("'"&amp;A7&amp;"'"&amp;"!B:B"))</f>
        <v>#DIV/0!</v>
      </c>
      <c r="C7" s="3057" t="s">
        <v>2938</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2938</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2938</v>
      </c>
      <c r="D9" s="1865"/>
      <c r="E9" s="3062" t="e">
        <f t="shared" ca="1" si="1"/>
        <v>#REF!</v>
      </c>
      <c r="F9" s="3062" t="e">
        <f t="shared" ca="1" si="2"/>
        <v>#REF!</v>
      </c>
    </row>
    <row r="10" spans="1:6" ht="14.25">
      <c r="A10" s="260"/>
      <c r="B10" s="3061" t="e">
        <f t="shared" ca="1" si="0"/>
        <v>#REF!</v>
      </c>
      <c r="C10" s="3057" t="s">
        <v>2938</v>
      </c>
      <c r="D10" s="1865"/>
      <c r="E10" s="3062" t="e">
        <f t="shared" ca="1" si="1"/>
        <v>#REF!</v>
      </c>
      <c r="F10" s="3062" t="e">
        <f t="shared" ca="1" si="2"/>
        <v>#REF!</v>
      </c>
    </row>
    <row r="11" spans="1:6" ht="14.25">
      <c r="A11" s="260"/>
      <c r="B11" s="3061" t="e">
        <f t="shared" ca="1" si="0"/>
        <v>#REF!</v>
      </c>
      <c r="C11" s="3057" t="s">
        <v>2938</v>
      </c>
      <c r="D11" s="1865"/>
      <c r="E11" s="3062" t="e">
        <f t="shared" ca="1" si="1"/>
        <v>#REF!</v>
      </c>
      <c r="F11" s="3062" t="e">
        <f t="shared" ca="1" si="2"/>
        <v>#REF!</v>
      </c>
    </row>
    <row r="12" spans="1:6" ht="14.25">
      <c r="A12" s="260"/>
      <c r="B12" s="3061" t="e">
        <f t="shared" ca="1" si="0"/>
        <v>#REF!</v>
      </c>
      <c r="C12" s="3057" t="s">
        <v>2938</v>
      </c>
      <c r="D12" s="1865"/>
      <c r="E12" s="3062" t="e">
        <f t="shared" ca="1" si="1"/>
        <v>#REF!</v>
      </c>
      <c r="F12" s="3062" t="e">
        <f t="shared" ca="1" si="2"/>
        <v>#REF!</v>
      </c>
    </row>
    <row r="13" spans="1:6" ht="14.25">
      <c r="A13" s="260"/>
      <c r="B13" s="3061" t="e">
        <f t="shared" ca="1" si="0"/>
        <v>#REF!</v>
      </c>
      <c r="C13" s="3057" t="s">
        <v>2938</v>
      </c>
      <c r="D13" s="1865"/>
      <c r="E13" s="3062" t="e">
        <f t="shared" ca="1" si="1"/>
        <v>#REF!</v>
      </c>
      <c r="F13" s="3062" t="e">
        <f t="shared" ca="1" si="2"/>
        <v>#REF!</v>
      </c>
    </row>
    <row r="14" spans="1:6" ht="14.25">
      <c r="A14" s="3055"/>
      <c r="B14" s="3061" t="e">
        <f t="shared" ca="1" si="0"/>
        <v>#REF!</v>
      </c>
      <c r="C14" s="3057" t="s">
        <v>2938</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B6" sqref="AB6"/>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2371</v>
      </c>
      <c r="F1" s="2351">
        <f ca="1">J54</f>
        <v>-2.5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9" t="s">
        <v>628</v>
      </c>
      <c r="B2" s="775">
        <f ca="1">IF(ISERROR(C45+J31),0,C45+J31)</f>
        <v>0</v>
      </c>
      <c r="C2" s="1347"/>
      <c r="D2" s="2039"/>
      <c r="E2" s="2040"/>
      <c r="F2" s="2040"/>
      <c r="G2" s="1576"/>
      <c r="H2" s="1359"/>
      <c r="I2" s="2041"/>
      <c r="J2" s="2041"/>
      <c r="K2" s="2042"/>
      <c r="L2" s="2041"/>
      <c r="M2" s="2041"/>
    </row>
    <row r="3" spans="1:25" ht="18" customHeight="1">
      <c r="A3" s="1630" t="s">
        <v>1685</v>
      </c>
      <c r="B3" s="1387">
        <f ca="1">ROUND(B2*10000/'数据-汇总表'!E3,0)</f>
        <v>0</v>
      </c>
      <c r="C3" s="1347"/>
      <c r="D3" s="2039"/>
      <c r="E3" s="2040"/>
      <c r="F3" s="2040"/>
      <c r="G3" s="1576"/>
      <c r="H3" s="776" t="s">
        <v>694</v>
      </c>
      <c r="I3" s="2041"/>
      <c r="J3" s="2041"/>
      <c r="K3" s="2042"/>
      <c r="L3" s="2041"/>
      <c r="M3" s="2041"/>
    </row>
    <row r="4" spans="1:25" ht="18" customHeight="1">
      <c r="A4" s="1631" t="s">
        <v>695</v>
      </c>
      <c r="B4" s="1348">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696</v>
      </c>
      <c r="D5" s="2039"/>
      <c r="E5" s="2040"/>
      <c r="F5" s="2040"/>
      <c r="G5" s="1576"/>
      <c r="H5" s="776"/>
      <c r="I5" s="2041"/>
      <c r="J5" s="2041"/>
      <c r="K5" s="2042"/>
      <c r="L5" s="2041"/>
      <c r="M5" s="2041"/>
    </row>
    <row r="6" spans="1:25" ht="18" customHeight="1">
      <c r="A6" s="1812" t="s">
        <v>697</v>
      </c>
      <c r="B6" s="1804" t="s">
        <v>698</v>
      </c>
      <c r="C6" s="1804" t="s">
        <v>631</v>
      </c>
      <c r="D6" s="1804" t="s">
        <v>632</v>
      </c>
      <c r="E6" s="779" t="s">
        <v>633</v>
      </c>
      <c r="F6" s="780"/>
      <c r="G6" s="1578"/>
      <c r="H6" s="1812" t="s">
        <v>629</v>
      </c>
      <c r="I6" s="1804" t="s">
        <v>630</v>
      </c>
      <c r="J6" s="1804" t="s">
        <v>631</v>
      </c>
      <c r="K6" s="1804" t="s">
        <v>632</v>
      </c>
      <c r="L6" s="779" t="s">
        <v>633</v>
      </c>
      <c r="M6" s="780"/>
    </row>
    <row r="7" spans="1:25" ht="18" customHeight="1">
      <c r="A7" s="781">
        <v>1</v>
      </c>
      <c r="B7" s="782" t="s">
        <v>2453</v>
      </c>
      <c r="C7" s="53">
        <f ca="1">C8+C12+C14</f>
        <v>0</v>
      </c>
      <c r="D7" s="2459" t="s">
        <v>2456</v>
      </c>
      <c r="E7" s="2453"/>
      <c r="F7" s="2454"/>
      <c r="G7" s="1578"/>
      <c r="H7" s="781">
        <v>1</v>
      </c>
      <c r="I7" s="782" t="s">
        <v>2453</v>
      </c>
      <c r="J7" s="53">
        <f ca="1">J8+J12+J14</f>
        <v>0</v>
      </c>
      <c r="K7" s="2459" t="s">
        <v>2456</v>
      </c>
      <c r="L7" s="2453"/>
      <c r="M7" s="2454"/>
    </row>
    <row r="8" spans="1:25" ht="18" customHeight="1">
      <c r="A8" s="1814" t="s">
        <v>1823</v>
      </c>
      <c r="B8" s="3461" t="s">
        <v>2458</v>
      </c>
      <c r="C8" s="1809">
        <f ca="1">ROUND(F8*F10*F9*(1-F11)/10000,0)</f>
        <v>0</v>
      </c>
      <c r="D8" s="1806" t="s">
        <v>2529</v>
      </c>
      <c r="E8" s="61" t="s">
        <v>636</v>
      </c>
      <c r="F8" s="785">
        <f ca="1">INDIRECT("'数据-取费表'!u"&amp;$G$1)</f>
        <v>0</v>
      </c>
      <c r="G8" s="1578"/>
      <c r="H8" s="2467" t="s">
        <v>1823</v>
      </c>
      <c r="I8" s="3461" t="s">
        <v>2458</v>
      </c>
      <c r="J8" s="783">
        <f ca="1">ROUND(M8*M10*M9*(1-M11)/10000,0)</f>
        <v>0</v>
      </c>
      <c r="K8" s="341" t="s">
        <v>2529</v>
      </c>
      <c r="L8" s="784" t="s">
        <v>1737</v>
      </c>
      <c r="M8" s="785">
        <f ca="1">INDIRECT("'数据-取费表'!z"&amp;$G$1)</f>
        <v>0</v>
      </c>
    </row>
    <row r="9" spans="1:25" ht="18" customHeight="1">
      <c r="A9" s="2463"/>
      <c r="B9" s="3462"/>
      <c r="C9" s="1810"/>
      <c r="D9" s="1807"/>
      <c r="E9" s="61" t="s">
        <v>637</v>
      </c>
      <c r="F9" s="785">
        <f ca="1">IF(INDIRECT("'数据-取费表'!ah"&amp;$G$1)="",INDIRECT("'数据-取费表'!k"&amp;$G$1),INDIRECT("'数据-取费表'!ah"&amp;$G$1))</f>
        <v>0</v>
      </c>
      <c r="G9" s="1578"/>
      <c r="H9" s="2452"/>
      <c r="I9" s="3462"/>
      <c r="J9" s="788"/>
      <c r="K9" s="789"/>
      <c r="L9" s="784" t="s">
        <v>1738</v>
      </c>
      <c r="M9" s="785">
        <f ca="1">F9</f>
        <v>0</v>
      </c>
    </row>
    <row r="10" spans="1:25" ht="18" customHeight="1">
      <c r="A10" s="2456"/>
      <c r="B10" s="3463"/>
      <c r="C10" s="1810"/>
      <c r="D10" s="1807"/>
      <c r="E10" s="61" t="s">
        <v>638</v>
      </c>
      <c r="F10" s="785">
        <f ca="1">INDIRECT("'数据-取费表'!ai"&amp;$G$1)</f>
        <v>0</v>
      </c>
      <c r="G10" s="1578"/>
      <c r="H10" s="2452"/>
      <c r="I10" s="3463"/>
      <c r="J10" s="788"/>
      <c r="K10" s="789"/>
      <c r="L10" s="784" t="s">
        <v>1739</v>
      </c>
      <c r="M10" s="785">
        <f ca="1">INDIRECT("'数据-取费表'!ai"&amp;$G$1)</f>
        <v>0</v>
      </c>
    </row>
    <row r="11" spans="1:25" ht="18" customHeight="1">
      <c r="A11" s="786"/>
      <c r="B11" s="3464"/>
      <c r="C11" s="1810"/>
      <c r="D11" s="1807"/>
      <c r="E11" s="61" t="s">
        <v>639</v>
      </c>
      <c r="F11" s="794">
        <f ca="1">INDIRECT("'数据-取费表'!w"&amp;$G$1)</f>
        <v>0</v>
      </c>
      <c r="G11" s="1578"/>
      <c r="H11" s="2468"/>
      <c r="I11" s="3463"/>
      <c r="J11" s="788"/>
      <c r="K11" s="789"/>
      <c r="L11" s="795" t="s">
        <v>1740</v>
      </c>
      <c r="M11" s="796">
        <f ca="1">INDIRECT("'数据-取费表'!ab"&amp;$G$1)</f>
        <v>0</v>
      </c>
    </row>
    <row r="12" spans="1:25" ht="18" customHeight="1">
      <c r="A12" s="1814" t="s">
        <v>1824</v>
      </c>
      <c r="B12" s="2457" t="s">
        <v>2454</v>
      </c>
      <c r="C12" s="799">
        <f ca="1">ROUND(IF(F12="押一",C8/12*F13,IF(F12="押二",C8/12*2*F13,IF(F12="押三",C8/12*3*F13,C13*F13))),0)</f>
        <v>0</v>
      </c>
      <c r="D12" s="2464" t="s">
        <v>2967</v>
      </c>
      <c r="E12" s="2461" t="s">
        <v>2459</v>
      </c>
      <c r="F12" s="2584"/>
      <c r="G12" s="1578"/>
      <c r="H12" s="2524" t="s">
        <v>1824</v>
      </c>
      <c r="I12" s="2529" t="s">
        <v>2454</v>
      </c>
      <c r="J12" s="783">
        <f ca="1">ROUND(IF(M12="押一",J8/12*M13,IF(M12="押二",J8/12*2*M13,IF(M12="押三",J8/12*3*M13,J13*M13))),0)</f>
        <v>0</v>
      </c>
      <c r="K12" s="2464" t="s">
        <v>2967</v>
      </c>
      <c r="L12" s="2461" t="s">
        <v>2459</v>
      </c>
      <c r="M12" s="2584"/>
    </row>
    <row r="13" spans="1:25" ht="18" customHeight="1">
      <c r="A13" s="790"/>
      <c r="B13" s="2458" t="s">
        <v>2568</v>
      </c>
      <c r="C13" s="2462"/>
      <c r="D13" s="789"/>
      <c r="E13" s="2461" t="s">
        <v>2451</v>
      </c>
      <c r="F13" s="796">
        <f ca="1">'数据-取费表'!B39</f>
        <v>1.4999999999999999E-2</v>
      </c>
      <c r="G13" s="1578"/>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8"/>
      <c r="H14" s="2514" t="s">
        <v>2462</v>
      </c>
      <c r="I14" s="2527" t="s">
        <v>2455</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8"/>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8"/>
      <c r="H16" s="803" t="s">
        <v>2067</v>
      </c>
      <c r="I16" s="2215" t="s">
        <v>2820</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9"/>
      <c r="H17" s="803" t="s">
        <v>2068</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2067</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8"/>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1.4999999999999999E-2</v>
      </c>
      <c r="G22" s="1579"/>
      <c r="H22" s="1816" t="s">
        <v>1849</v>
      </c>
      <c r="I22" s="1806" t="s">
        <v>667</v>
      </c>
      <c r="J22" s="54">
        <f ca="1">ROUND(M22*M23/10000,0)</f>
        <v>0</v>
      </c>
      <c r="K22" s="814" t="s">
        <v>668</v>
      </c>
      <c r="L22" s="784" t="s">
        <v>669</v>
      </c>
      <c r="M22" s="640">
        <f>'数据-取费表'!B52</f>
        <v>6.4</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1.4999999999999999E-2</v>
      </c>
      <c r="G23" s="1579"/>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8"/>
      <c r="H24" s="1815" t="s">
        <v>2068</v>
      </c>
      <c r="I24" s="784" t="s">
        <v>675</v>
      </c>
      <c r="J24" s="53">
        <f ca="1">ROUND(J16*M24,0)</f>
        <v>0</v>
      </c>
      <c r="K24" s="1961" t="s">
        <v>676</v>
      </c>
      <c r="L24" s="784" t="s">
        <v>648</v>
      </c>
      <c r="M24" s="817">
        <f ca="1">INDIRECT("'数据-取费表'!Ak"&amp;$G$1)</f>
        <v>0</v>
      </c>
    </row>
    <row r="25" spans="1:25" s="2048" customFormat="1" ht="18" customHeight="1">
      <c r="A25" s="803" t="s">
        <v>1874</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2.5</v>
      </c>
      <c r="G25" s="1579"/>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8.9999999999999998E-4</v>
      </c>
      <c r="D26" s="2534"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8"/>
      <c r="H27" s="797" t="s">
        <v>1827</v>
      </c>
      <c r="I27" s="2962" t="s">
        <v>2817</v>
      </c>
      <c r="J27" s="799">
        <f ca="1">J7-J18</f>
        <v>0</v>
      </c>
      <c r="K27" s="1963" t="s">
        <v>699</v>
      </c>
      <c r="L27" s="1965"/>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2818</v>
      </c>
      <c r="C31" s="2507">
        <f ca="1">ROUND((C21+C22+C25+C28)/(1-F23-C26-C29-C30),0)</f>
        <v>0</v>
      </c>
      <c r="D31" s="2508"/>
      <c r="E31" s="2509"/>
      <c r="F31" s="2510"/>
      <c r="G31" s="1579"/>
      <c r="H31" s="823" t="s">
        <v>1871</v>
      </c>
      <c r="I31" s="2963" t="s">
        <v>2819</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6.4</v>
      </c>
      <c r="G36" s="2046"/>
      <c r="H36" s="2049"/>
      <c r="I36" s="3460"/>
      <c r="J36" s="2063"/>
      <c r="K36" s="2064"/>
      <c r="L36" s="2063"/>
      <c r="M36" s="2063"/>
    </row>
    <row r="37" spans="1:18" ht="18" customHeight="1">
      <c r="A37" s="815"/>
      <c r="B37" s="793"/>
      <c r="C37" s="69"/>
      <c r="D37" s="816"/>
      <c r="E37" s="784" t="s">
        <v>673</v>
      </c>
      <c r="F37" s="785">
        <f ca="1">INDIRECT("'数据-取费表'!r"&amp;$G$1)</f>
        <v>0</v>
      </c>
      <c r="G37" s="2046"/>
      <c r="H37" s="2049"/>
      <c r="I37" s="3460"/>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9"/>
      <c r="D41" s="1350"/>
      <c r="E41" s="1350"/>
      <c r="F41" s="1351"/>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2" t="s">
        <v>711</v>
      </c>
      <c r="E43" s="3073" t="s">
        <v>2955</v>
      </c>
      <c r="F43" s="3074">
        <f ca="1">INDIRECT("'数据-取费表'!j"&amp;$G$1)</f>
        <v>0</v>
      </c>
      <c r="G43" s="2046"/>
      <c r="H43" s="2046"/>
      <c r="I43" s="2046"/>
      <c r="J43" s="2046"/>
      <c r="K43" s="2067"/>
      <c r="L43" s="2046"/>
      <c r="M43" s="2046"/>
    </row>
    <row r="44" spans="1:18" ht="18" customHeight="1">
      <c r="A44" s="803" t="s">
        <v>1877</v>
      </c>
      <c r="B44" s="835" t="s">
        <v>712</v>
      </c>
      <c r="C44" s="1353">
        <f ca="1">C42-C43</f>
        <v>0</v>
      </c>
      <c r="D44" s="463" t="s">
        <v>713</v>
      </c>
      <c r="E44" s="464"/>
      <c r="F44" s="465"/>
      <c r="G44" s="2046"/>
      <c r="H44" s="2046"/>
      <c r="I44" s="2046"/>
      <c r="J44" s="2046"/>
      <c r="K44" s="2067"/>
      <c r="L44" s="2046"/>
      <c r="M44" s="2046"/>
    </row>
    <row r="45" spans="1:18" ht="18" customHeight="1">
      <c r="A45" s="803" t="s">
        <v>1878</v>
      </c>
      <c r="B45" s="1352" t="s">
        <v>714</v>
      </c>
      <c r="C45" s="2989">
        <f ca="1">ROUND(-PV(F45,F46,C44,0),0)</f>
        <v>0</v>
      </c>
      <c r="D45" s="1354" t="s">
        <v>715</v>
      </c>
      <c r="E45" s="806" t="s">
        <v>716</v>
      </c>
      <c r="F45" s="830">
        <f ca="1">INDIRECT("'数据-取费表'!h"&amp;$G$1)</f>
        <v>0</v>
      </c>
      <c r="G45" s="2046"/>
      <c r="H45" s="2046"/>
      <c r="I45" s="2046"/>
      <c r="J45" s="2046"/>
      <c r="K45" s="2067"/>
      <c r="L45" s="2046"/>
      <c r="M45" s="2046"/>
    </row>
    <row r="46" spans="1:18" ht="18" customHeight="1" thickBot="1">
      <c r="A46" s="831"/>
      <c r="B46" s="1355"/>
      <c r="C46" s="1356"/>
      <c r="D46" s="1357"/>
      <c r="E46" s="3075" t="s">
        <v>2958</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8" t="str">
        <f ca="1">IF(M48="住宅",0,IF(L49&gt;J52,L61,J61))</f>
        <v>0</v>
      </c>
      <c r="O47" s="2357" t="s">
        <v>2407</v>
      </c>
      <c r="P47" s="1578"/>
      <c r="Q47" s="1589"/>
      <c r="R47" s="1578"/>
    </row>
    <row r="48" spans="1:18" s="2043" customFormat="1" ht="18" customHeight="1" thickBot="1">
      <c r="A48" s="2068"/>
      <c r="C48" s="2071"/>
      <c r="D48" s="2072"/>
      <c r="E48" s="2072"/>
      <c r="F48" s="2073"/>
      <c r="G48" s="2074"/>
      <c r="I48" s="3098" t="s">
        <v>2341</v>
      </c>
      <c r="J48" s="2344"/>
      <c r="K48" s="3105" t="s">
        <v>2346</v>
      </c>
      <c r="L48" s="3109">
        <f ca="1">INDIRECT("'数据-取费表'!d"&amp;$G$1)</f>
        <v>0</v>
      </c>
      <c r="M48" s="3072"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7" t="s">
        <v>2342</v>
      </c>
      <c r="J49" s="2345"/>
      <c r="K49" s="3106"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7" t="s">
        <v>2343</v>
      </c>
      <c r="J50" s="2346"/>
      <c r="K50" s="3107"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7" t="s">
        <v>2344</v>
      </c>
      <c r="J51" s="3102">
        <f>SUMPRODUCT((I64:I66=J48)*(J63:L63=J49)*(J64:L66))</f>
        <v>0</v>
      </c>
      <c r="K51" s="3107" t="s">
        <v>2350</v>
      </c>
      <c r="L51" s="2347"/>
      <c r="O51" s="2364" t="s">
        <v>2380</v>
      </c>
      <c r="P51" s="2362" t="s">
        <v>2404</v>
      </c>
      <c r="Q51" s="2363">
        <f ca="1">C31</f>
        <v>0</v>
      </c>
      <c r="R51" s="2362" t="s">
        <v>2377</v>
      </c>
    </row>
    <row r="52" spans="1:18" s="2043" customFormat="1" ht="18" customHeight="1" thickBot="1">
      <c r="A52" s="2080"/>
      <c r="F52" s="2069"/>
      <c r="I52" s="3099" t="s">
        <v>2345</v>
      </c>
      <c r="J52" s="3103">
        <f>IF(J50="",J51,J50+J51-YEAR('数据-取费表'!B3))</f>
        <v>0</v>
      </c>
      <c r="K52" s="3077" t="s">
        <v>2351</v>
      </c>
      <c r="L52" s="3110">
        <f ca="1">ROUND(-PV(INDIRECT("'数据-取费表'!h"&amp;$G$1),L49,(C40-C14*J36),0),0)</f>
        <v>0</v>
      </c>
      <c r="O52" s="2364" t="s">
        <v>2381</v>
      </c>
      <c r="P52" s="2362" t="s">
        <v>2382</v>
      </c>
      <c r="Q52" s="2365" t="e">
        <f ca="1">J59</f>
        <v>#VALUE!</v>
      </c>
      <c r="R52" s="2366"/>
    </row>
    <row r="53" spans="1:18" s="2043" customFormat="1" ht="18" customHeight="1" thickBot="1">
      <c r="A53" s="2080"/>
      <c r="F53" s="2069"/>
      <c r="I53" s="3100" t="s">
        <v>2418</v>
      </c>
      <c r="J53" s="2348"/>
      <c r="K53" s="3100" t="s">
        <v>2417</v>
      </c>
      <c r="L53" s="2348"/>
      <c r="O53" s="2364" t="s">
        <v>2383</v>
      </c>
      <c r="P53" s="2362" t="s">
        <v>2384</v>
      </c>
      <c r="Q53" s="2365">
        <f>J53</f>
        <v>0</v>
      </c>
      <c r="R53" s="2366"/>
    </row>
    <row r="54" spans="1:18" s="2043" customFormat="1" ht="29.25" thickBot="1">
      <c r="A54" s="2080"/>
      <c r="I54" s="3101" t="s">
        <v>2971</v>
      </c>
      <c r="J54" s="3104">
        <f ca="1">IF(M48="住宅",MAX(J52,L49-'数据-取费表'!B20),MIN(J52,L49-'数据-取费表'!B20))</f>
        <v>-2.5</v>
      </c>
      <c r="K54" s="3465"/>
      <c r="L54" s="3466"/>
      <c r="O54" s="2364" t="s">
        <v>2385</v>
      </c>
      <c r="P54" s="2362" t="s">
        <v>2386</v>
      </c>
      <c r="Q54" s="2363">
        <f ca="1">J54</f>
        <v>-2.5</v>
      </c>
      <c r="R54" s="2362" t="s">
        <v>2387</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2388</v>
      </c>
      <c r="P55" s="2362" t="s">
        <v>2405</v>
      </c>
      <c r="Q55" s="2363">
        <f ca="1">Q49+Q50</f>
        <v>0</v>
      </c>
      <c r="R55" s="2366" t="s">
        <v>2389</v>
      </c>
    </row>
    <row r="56" spans="1:18" s="2043" customFormat="1" ht="16.5" thickBot="1">
      <c r="A56" s="2080"/>
      <c r="B56" s="2081"/>
      <c r="C56" s="2081"/>
      <c r="I56" s="3113" t="s">
        <v>2352</v>
      </c>
      <c r="J56" s="3052" t="e">
        <f ca="1">ROUND(IF(J48="钢混",J58/J51,1-(1-2%)*(J51-J58)/J51),3)</f>
        <v>#VALUE!</v>
      </c>
      <c r="K56" s="3114" t="s">
        <v>2353</v>
      </c>
      <c r="L56" s="2349"/>
      <c r="O56" s="2367" t="s">
        <v>2408</v>
      </c>
      <c r="P56" s="1578"/>
      <c r="Q56" s="1589"/>
      <c r="R56" s="1578"/>
    </row>
    <row r="57" spans="1:18" s="2043" customFormat="1" ht="43.5" thickBot="1">
      <c r="A57" s="2080"/>
      <c r="B57" s="2081"/>
      <c r="C57" s="2081"/>
      <c r="I57" s="3115" t="s">
        <v>2354</v>
      </c>
      <c r="J57" s="3125" t="s">
        <v>1677</v>
      </c>
      <c r="K57" s="3077" t="s">
        <v>2359</v>
      </c>
      <c r="L57" s="1892">
        <f ca="1">IF(L49&lt;J52,"——",L49-J52)</f>
        <v>0</v>
      </c>
      <c r="O57" s="2358" t="s">
        <v>2372</v>
      </c>
      <c r="P57" s="2359" t="s">
        <v>2373</v>
      </c>
      <c r="Q57" s="2360" t="s">
        <v>2374</v>
      </c>
      <c r="R57" s="2359" t="s">
        <v>2375</v>
      </c>
    </row>
    <row r="58" spans="1:18" s="2043" customFormat="1" ht="29.25" thickBot="1">
      <c r="A58" s="2080"/>
      <c r="B58" s="2081"/>
      <c r="C58" s="2081"/>
      <c r="I58" s="3116" t="s">
        <v>2355</v>
      </c>
      <c r="J58" s="3117" t="str">
        <f ca="1">IF(OR(M48="住宅",J52&lt;L49,J57="是"),"——",J52-L49)</f>
        <v>——</v>
      </c>
      <c r="K58" s="3077"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6" t="s">
        <v>2356</v>
      </c>
      <c r="J59" s="3053" t="e">
        <f ca="1">IF(J56&lt;0.4,0.4,J56)</f>
        <v>#VALUE!</v>
      </c>
      <c r="K59" s="3077"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6" t="s">
        <v>2357</v>
      </c>
      <c r="J60" s="3117" t="str">
        <f ca="1">IF(OR(M48="住宅",J52&lt;L49,J57="是"),"——",ROUND(C30*J59,0))</f>
        <v>——</v>
      </c>
      <c r="K60" s="3077"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8" t="s">
        <v>2358</v>
      </c>
      <c r="J61" s="3119" t="str">
        <f ca="1">IF(OR(M48="住宅",J52&lt;L49,J57="是"),"0",ROUND(J60/(1+J53)^J54,0))</f>
        <v>0</v>
      </c>
      <c r="K61" s="3120" t="s">
        <v>2363</v>
      </c>
      <c r="L61" s="3119"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21" t="s">
        <v>2364</v>
      </c>
      <c r="J63" s="3122" t="s">
        <v>2365</v>
      </c>
      <c r="K63" s="3122" t="s">
        <v>2366</v>
      </c>
      <c r="L63" s="3122" t="s">
        <v>2347</v>
      </c>
      <c r="M63" s="3123" t="s">
        <v>2936</v>
      </c>
      <c r="O63" s="2364" t="s">
        <v>2385</v>
      </c>
      <c r="P63" s="2362" t="s">
        <v>2393</v>
      </c>
      <c r="Q63" s="2363">
        <f ca="1">L60</f>
        <v>0</v>
      </c>
      <c r="R63" s="2366" t="s">
        <v>2394</v>
      </c>
    </row>
    <row r="64" spans="1:18" s="2043" customFormat="1" ht="15.75" thickBot="1">
      <c r="A64" s="2080"/>
      <c r="B64" s="2081"/>
      <c r="C64" s="2081"/>
      <c r="I64" s="3121" t="s">
        <v>2367</v>
      </c>
      <c r="J64" s="3122">
        <v>70</v>
      </c>
      <c r="K64" s="3122">
        <v>50</v>
      </c>
      <c r="L64" s="3122">
        <v>80</v>
      </c>
      <c r="M64" s="3124">
        <v>0.02</v>
      </c>
      <c r="O64" s="2361" t="s">
        <v>2388</v>
      </c>
      <c r="P64" s="2362" t="s">
        <v>2405</v>
      </c>
      <c r="Q64" s="2363" t="e">
        <f ca="1">Q58+Q59</f>
        <v>#DIV/0!</v>
      </c>
      <c r="R64" s="2366" t="s">
        <v>2389</v>
      </c>
    </row>
    <row r="65" spans="1:18" s="2043" customFormat="1" ht="16.5" thickBot="1">
      <c r="A65" s="2080"/>
      <c r="B65" s="2081"/>
      <c r="C65" s="2081"/>
      <c r="I65" s="3121" t="s">
        <v>2368</v>
      </c>
      <c r="J65" s="3122">
        <v>50</v>
      </c>
      <c r="K65" s="3122">
        <v>35</v>
      </c>
      <c r="L65" s="3122">
        <v>60</v>
      </c>
      <c r="M65" s="846">
        <v>0</v>
      </c>
      <c r="O65" s="2367" t="s">
        <v>2412</v>
      </c>
      <c r="P65" s="1578"/>
      <c r="Q65" s="1589"/>
      <c r="R65" s="1578"/>
    </row>
    <row r="66" spans="1:18" s="2043" customFormat="1" ht="15.75" thickBot="1">
      <c r="A66" s="2080"/>
      <c r="B66" s="2081"/>
      <c r="C66" s="2081"/>
      <c r="I66" s="3121" t="s">
        <v>2369</v>
      </c>
      <c r="J66" s="3122">
        <v>40</v>
      </c>
      <c r="K66" s="3122">
        <v>30</v>
      </c>
      <c r="L66" s="3122">
        <v>50</v>
      </c>
      <c r="M66" s="3124">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国民信托：</v>
      </c>
    </row>
    <row r="4" spans="1:4" ht="37.5">
      <c r="A4" s="1775" t="str">
        <f>"受贵公司委托，我公司对"&amp;项目基本情况!K2&amp;项目基本情况!B9&amp;"进行了预评估。"</f>
        <v>受贵公司委托，我公司对山东省济宁市洸府河以东，红星路以南出让国有建设用地使用权抵押价格进行了预评估。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济宁金讯置业有限公司使用的、位于山东省济宁市洸府河以东，红星路以南出让国有建设用地使用权。根据《国有土地使用证》[]，估价对象（分摊）出让国有建设用地使用权面积为21485平方米。根据《建设工程规划许可证》[]、《出让合同》[]，估价对象规划建筑面积为148301.93平方米。</v>
      </c>
    </row>
    <row r="7" spans="1:4" ht="56.25">
      <c r="A7" s="1779" t="s">
        <v>2742</v>
      </c>
    </row>
    <row r="8" spans="1:4" ht="18.75">
      <c r="A8" s="1778" t="s">
        <v>1905</v>
      </c>
    </row>
    <row r="9" spans="1:4" ht="93.75">
      <c r="A9" s="1780" t="str">
        <f>IF(项目基本情况!B8="抵押",IF(项目基本情况!B5=项目基本情况!B6,定义!C51,定义!B51),定义!D51)</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2019年7月5日（评估专业人员勘察现场之日）</v>
      </c>
    </row>
    <row r="12" spans="1:4" ht="18.75">
      <c r="A12" s="1781" t="s">
        <v>2023</v>
      </c>
    </row>
    <row r="13" spans="1:4" ht="18.75">
      <c r="A13" s="1775" t="s">
        <v>2935</v>
      </c>
    </row>
    <row r="14" spans="1:4" ht="37.5">
      <c r="A14" s="1775" t="str">
        <f>"根据"&amp;项目基本情况!F12&amp;"，本次评估估价对象证载（地类）用途为"&amp;项目基本情况!B12&amp;"。"</f>
        <v>根据《不动产权证书》[鲁（2017）济宁市不动产权第0030929号]，本次评估估价对象证载（地类）用途为商服用地。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根据《国有土地使用证》[]，估价对象（分摊）出让国有建设用地使用权面积为21485平方米。根据《建设工程规划许可证》[]、《出让合同》[]，估价对象规划建筑面积为148301.93平方米。</v>
      </c>
    </row>
    <row r="21" spans="1:1" ht="18.75">
      <c r="A21" s="1775" t="s">
        <v>2072</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本次估价对象为出让国有建设用地使用权，《不动产权证书》[鲁（2017）济宁市不动产权第0030929号]证载土地终止日期为商业2057年3月30日。截至估价期日，出让国有建设用地使用权剩余土地使用年限为。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22" zoomScale="80" zoomScaleNormal="80" workbookViewId="0">
      <selection activeCell="F8" sqref="F8"/>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1676</v>
      </c>
      <c r="D1" s="3076" t="s">
        <v>3002</v>
      </c>
      <c r="E1" s="2350" t="s">
        <v>2371</v>
      </c>
      <c r="F1" s="2351">
        <f ca="1">J53</f>
        <v>35.26</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8913</v>
      </c>
      <c r="C2" s="2041"/>
      <c r="D2" s="2039"/>
      <c r="E2" s="2040"/>
      <c r="F2" s="2040"/>
      <c r="G2" s="1576"/>
      <c r="H2" s="2041"/>
      <c r="I2" s="2041"/>
      <c r="J2" s="2041"/>
      <c r="K2" s="2042"/>
      <c r="L2" s="2041"/>
      <c r="M2" s="2041"/>
    </row>
    <row r="3" spans="1:33" ht="18" customHeight="1" thickBot="1">
      <c r="A3" s="833" t="s">
        <v>1726</v>
      </c>
      <c r="B3" s="834">
        <f ca="1">IF(ISERROR(B2*10000/F43),0,ROUND(B2*10000/F43,0))</f>
        <v>7976</v>
      </c>
      <c r="C3" s="2041"/>
      <c r="D3" s="2039"/>
      <c r="E3" s="2040"/>
      <c r="F3" s="2040"/>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2453</v>
      </c>
      <c r="C5" s="55">
        <f ca="1">C6+C10+C12</f>
        <v>515</v>
      </c>
      <c r="D5" s="2459" t="s">
        <v>2456</v>
      </c>
      <c r="E5" s="2453"/>
      <c r="F5" s="2454"/>
      <c r="G5" s="1578"/>
      <c r="H5" s="781">
        <v>1</v>
      </c>
      <c r="I5" s="782" t="s">
        <v>2453</v>
      </c>
      <c r="J5" s="55">
        <f ca="1">J6+J10+J12</f>
        <v>0</v>
      </c>
      <c r="K5" s="2459" t="s">
        <v>2456</v>
      </c>
      <c r="L5" s="2453"/>
      <c r="M5" s="2454"/>
    </row>
    <row r="6" spans="1:33" ht="18" customHeight="1">
      <c r="A6" s="1814" t="s">
        <v>1823</v>
      </c>
      <c r="B6" s="3461" t="s">
        <v>2458</v>
      </c>
      <c r="C6" s="783">
        <f ca="1">ROUND(F6*F8*F7*(1-F9)/10000,0)</f>
        <v>514</v>
      </c>
      <c r="D6" s="2460" t="s">
        <v>2457</v>
      </c>
      <c r="E6" s="784" t="s">
        <v>1737</v>
      </c>
      <c r="F6" s="785">
        <f ca="1">INDIRECT("'数据-取费表'!u"&amp;$G$1)</f>
        <v>1.4</v>
      </c>
      <c r="G6" s="1578"/>
      <c r="H6" s="2467" t="s">
        <v>2463</v>
      </c>
      <c r="I6" s="3461" t="s">
        <v>2458</v>
      </c>
      <c r="J6" s="783">
        <f ca="1">ROUND(M6*M8*M7*(1-M9)/10000,0)</f>
        <v>0</v>
      </c>
      <c r="K6" s="341" t="s">
        <v>1736</v>
      </c>
      <c r="L6" s="784" t="s">
        <v>1737</v>
      </c>
      <c r="M6" s="785">
        <f ca="1">INDIRECT("'数据-取费表'!z"&amp;$G$1)</f>
        <v>0</v>
      </c>
    </row>
    <row r="7" spans="1:33" ht="18" customHeight="1">
      <c r="A7" s="2463"/>
      <c r="B7" s="3462"/>
      <c r="C7" s="788"/>
      <c r="D7" s="789"/>
      <c r="E7" s="784" t="s">
        <v>1738</v>
      </c>
      <c r="F7" s="785">
        <f ca="1">IF(INDIRECT("'数据-取费表'!ah"&amp;$G$1)="",INDIRECT("'数据-取费表'!k"&amp;$G$1),INDIRECT("'数据-取费表'!ah"&amp;$G$1))</f>
        <v>11174.849999999999</v>
      </c>
      <c r="G7" s="1578"/>
      <c r="H7" s="2452"/>
      <c r="I7" s="3462"/>
      <c r="J7" s="788"/>
      <c r="K7" s="789"/>
      <c r="L7" s="784" t="s">
        <v>1738</v>
      </c>
      <c r="M7" s="785">
        <f ca="1">F7</f>
        <v>11174.849999999999</v>
      </c>
    </row>
    <row r="8" spans="1:33" ht="18" customHeight="1">
      <c r="A8" s="2456"/>
      <c r="B8" s="3463"/>
      <c r="C8" s="788"/>
      <c r="D8" s="789"/>
      <c r="E8" s="784" t="s">
        <v>1739</v>
      </c>
      <c r="F8" s="785">
        <f ca="1">INDIRECT("'数据-取费表'!ai"&amp;$G$1)</f>
        <v>365</v>
      </c>
      <c r="G8" s="1578"/>
      <c r="H8" s="2452"/>
      <c r="I8" s="3463"/>
      <c r="J8" s="788"/>
      <c r="K8" s="789"/>
      <c r="L8" s="784" t="s">
        <v>1739</v>
      </c>
      <c r="M8" s="785">
        <f ca="1">INDIRECT("'数据-取费表'!ai"&amp;$G$1)</f>
        <v>365</v>
      </c>
    </row>
    <row r="9" spans="1:33" ht="18" customHeight="1">
      <c r="A9" s="786"/>
      <c r="B9" s="3464"/>
      <c r="C9" s="788"/>
      <c r="D9" s="789"/>
      <c r="E9" s="784" t="s">
        <v>1740</v>
      </c>
      <c r="F9" s="794">
        <f ca="1">INDIRECT("'数据-取费表'!w"&amp;$G$1)</f>
        <v>0.1</v>
      </c>
      <c r="G9" s="1578"/>
      <c r="H9" s="2468"/>
      <c r="I9" s="3463"/>
      <c r="J9" s="788"/>
      <c r="K9" s="789"/>
      <c r="L9" s="795" t="s">
        <v>1740</v>
      </c>
      <c r="M9" s="796">
        <f ca="1">INDIRECT("'数据-取费表'!ab"&amp;$G$1)</f>
        <v>0</v>
      </c>
    </row>
    <row r="10" spans="1:33" ht="18" customHeight="1">
      <c r="A10" s="1814" t="s">
        <v>2461</v>
      </c>
      <c r="B10" s="2457" t="s">
        <v>2454</v>
      </c>
      <c r="C10" s="799">
        <f ca="1">ROUND(IF(F10="押一",C6/12*F11,IF(F10="押二",C6/12*2*F11,IF(F10="押三",C6/12*3*F11,C11*F11))),0)</f>
        <v>1</v>
      </c>
      <c r="D10" s="2464" t="s">
        <v>2967</v>
      </c>
      <c r="E10" s="2461" t="s">
        <v>2459</v>
      </c>
      <c r="F10" s="2584" t="s">
        <v>3003</v>
      </c>
      <c r="G10" s="1578"/>
      <c r="H10" s="2524" t="s">
        <v>2464</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2460</v>
      </c>
      <c r="F11" s="796">
        <f ca="1">'数据-取费表'!B39</f>
        <v>1.4999999999999999E-2</v>
      </c>
      <c r="G11" s="1578"/>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8"/>
      <c r="H12" s="2514" t="s">
        <v>2465</v>
      </c>
      <c r="I12" s="2527" t="s">
        <v>2455</v>
      </c>
      <c r="J12" s="2528"/>
      <c r="K12" s="2503"/>
      <c r="L12" s="2504"/>
      <c r="M12" s="2517"/>
    </row>
    <row r="13" spans="1:33" ht="18" customHeight="1" thickTop="1">
      <c r="A13" s="1813">
        <v>2</v>
      </c>
      <c r="B13" s="1811" t="s">
        <v>1741</v>
      </c>
      <c r="C13" s="792">
        <f ca="1">ROUND(C29*F13,0)</f>
        <v>5001</v>
      </c>
      <c r="D13" s="1818" t="s">
        <v>2295</v>
      </c>
      <c r="E13" s="1818" t="s">
        <v>1743</v>
      </c>
      <c r="F13" s="2499">
        <f ca="1">INDIRECT("'数据-取费表'!y"&amp;$G$1)</f>
        <v>1</v>
      </c>
      <c r="G13" s="1578"/>
      <c r="H13" s="1813">
        <v>2</v>
      </c>
      <c r="I13" s="1811" t="s">
        <v>1741</v>
      </c>
      <c r="J13" s="1803">
        <f ca="1">ROUND(J14*J15,0)</f>
        <v>0</v>
      </c>
      <c r="K13" s="1805" t="s">
        <v>1742</v>
      </c>
      <c r="L13" s="2515"/>
      <c r="M13" s="2516"/>
    </row>
    <row r="14" spans="1:33" ht="18" customHeight="1">
      <c r="A14" s="1633" t="s">
        <v>1883</v>
      </c>
      <c r="B14" s="784" t="s">
        <v>644</v>
      </c>
      <c r="C14" s="804">
        <f ca="1">INDIRECT("'数据-取费表'!m"&amp;$G$1)+INDIRECT("'数据-取费表'!t"&amp;$G$1)</f>
        <v>3479</v>
      </c>
      <c r="D14" s="1963" t="s">
        <v>1744</v>
      </c>
      <c r="E14" s="1964"/>
      <c r="F14" s="805"/>
      <c r="G14" s="1578"/>
      <c r="H14" s="1634" t="s">
        <v>1829</v>
      </c>
      <c r="I14" s="2215" t="s">
        <v>2821</v>
      </c>
      <c r="J14" s="53">
        <f ca="1">C29</f>
        <v>5001</v>
      </c>
      <c r="K14" s="26"/>
      <c r="L14" s="801"/>
      <c r="M14" s="802"/>
    </row>
    <row r="15" spans="1:33" s="2048" customFormat="1" ht="18" customHeight="1" thickBot="1">
      <c r="A15" s="1633" t="s">
        <v>1884</v>
      </c>
      <c r="B15" s="784" t="s">
        <v>646</v>
      </c>
      <c r="C15" s="53">
        <f ca="1">ROUND(C14*F15,0)</f>
        <v>139</v>
      </c>
      <c r="D15" s="806" t="s">
        <v>1745</v>
      </c>
      <c r="E15" s="806" t="s">
        <v>1746</v>
      </c>
      <c r="F15" s="807">
        <f>'数据-取费表'!B33</f>
        <v>0.04</v>
      </c>
      <c r="G15" s="1579"/>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3" t="s">
        <v>1747</v>
      </c>
      <c r="I16" s="1811" t="s">
        <v>1748</v>
      </c>
      <c r="J16" s="792">
        <f ca="1">ROUND(J17+J22+J23+J24,0)</f>
        <v>471</v>
      </c>
      <c r="K16" s="1805" t="s">
        <v>1749</v>
      </c>
      <c r="L16" s="2449"/>
      <c r="M16" s="2454"/>
    </row>
    <row r="17" spans="1:33" s="2048" customFormat="1" ht="18" customHeight="1">
      <c r="A17" s="1633" t="s">
        <v>1886</v>
      </c>
      <c r="B17" s="784" t="s">
        <v>652</v>
      </c>
      <c r="C17" s="53">
        <f ca="1">ROUND(F17*(F43+INDIRECT("'数据-取费表'!S"&amp;$G$1))/10000,0)</f>
        <v>278</v>
      </c>
      <c r="D17" s="784" t="s">
        <v>1750</v>
      </c>
      <c r="E17" s="784" t="s">
        <v>1751</v>
      </c>
      <c r="F17" s="56">
        <f>'数据-取费表'!B35</f>
        <v>200</v>
      </c>
      <c r="G17" s="1579"/>
      <c r="H17" s="1634" t="s">
        <v>1829</v>
      </c>
      <c r="I17" s="784" t="s">
        <v>655</v>
      </c>
      <c r="J17" s="53">
        <f ca="1">ROUND(IF(项目基本情况!B11="自然人",J5*M17,J18+J19+J20),0)</f>
        <v>421</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52</v>
      </c>
      <c r="D18" s="784" t="s">
        <v>1745</v>
      </c>
      <c r="E18" s="784" t="s">
        <v>1746</v>
      </c>
      <c r="F18" s="809">
        <f>'数据-取费表'!B36</f>
        <v>1.4999999999999999E-2</v>
      </c>
      <c r="G18" s="1579"/>
      <c r="H18" s="1633"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1829</v>
      </c>
      <c r="B19" s="784" t="s">
        <v>661</v>
      </c>
      <c r="C19" s="53">
        <f ca="1">SUM(C14:C18)</f>
        <v>3948</v>
      </c>
      <c r="D19" s="261" t="s">
        <v>1756</v>
      </c>
      <c r="E19" s="1966"/>
      <c r="F19" s="56"/>
      <c r="G19" s="1578"/>
      <c r="H19" s="1633" t="s">
        <v>1884</v>
      </c>
      <c r="I19" s="784" t="s">
        <v>1757</v>
      </c>
      <c r="J19" s="53">
        <f ca="1">IF(K19="按租金收入计税",ROUND(J5*M19,1),ROUND(C29*F33*0.7,1))</f>
        <v>420.1</v>
      </c>
      <c r="K19" s="811" t="s">
        <v>664</v>
      </c>
      <c r="L19" s="784" t="s">
        <v>1746</v>
      </c>
      <c r="M19" s="809">
        <f>IF(K19="按租金收入计税",'数据-取费表'!B51,'数据-取费表'!B50)</f>
        <v>1.2E-2</v>
      </c>
    </row>
    <row r="20" spans="1:33" s="2048" customFormat="1" ht="18" customHeight="1">
      <c r="A20" s="1634" t="s">
        <v>1888</v>
      </c>
      <c r="B20" s="784" t="s">
        <v>665</v>
      </c>
      <c r="C20" s="53">
        <f ca="1">ROUND(C19*F20,0)</f>
        <v>59</v>
      </c>
      <c r="D20" s="812" t="s">
        <v>1758</v>
      </c>
      <c r="E20" s="784" t="s">
        <v>1746</v>
      </c>
      <c r="F20" s="809">
        <f>'数据-取费表'!B37</f>
        <v>1.4999999999999999E-2</v>
      </c>
      <c r="G20" s="1579"/>
      <c r="H20" s="1636" t="s">
        <v>1879</v>
      </c>
      <c r="I20" s="341" t="s">
        <v>1759</v>
      </c>
      <c r="J20" s="54">
        <f ca="1">ROUND(M20*M21/10000,0)</f>
        <v>1</v>
      </c>
      <c r="K20" s="814" t="s">
        <v>1760</v>
      </c>
      <c r="L20" s="784" t="s">
        <v>1761</v>
      </c>
      <c r="M20" s="640">
        <f>'数据-取费表'!B52</f>
        <v>6.4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1762</v>
      </c>
      <c r="C21" s="53" t="s">
        <v>1763</v>
      </c>
      <c r="D21" s="812" t="s">
        <v>2296</v>
      </c>
      <c r="E21" s="784" t="s">
        <v>1764</v>
      </c>
      <c r="F21" s="809">
        <f>'数据-取费表'!B38</f>
        <v>1.4999999999999999E-2</v>
      </c>
      <c r="G21" s="1579"/>
      <c r="H21" s="2469"/>
      <c r="I21" s="793"/>
      <c r="J21" s="69"/>
      <c r="K21" s="816"/>
      <c r="L21" s="784" t="s">
        <v>1765</v>
      </c>
      <c r="M21" s="785">
        <f ca="1">INDIRECT("'数据-取费表'!r"&amp;$G$1)</f>
        <v>2016.0900000000001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1966"/>
      <c r="F22" s="56"/>
      <c r="G22" s="1578"/>
      <c r="H22" s="1634" t="s">
        <v>1888</v>
      </c>
      <c r="I22" s="784" t="s">
        <v>1767</v>
      </c>
      <c r="J22" s="53">
        <f ca="1">ROUND(J14*M22,0)</f>
        <v>50</v>
      </c>
      <c r="K22" s="2447" t="s">
        <v>1768</v>
      </c>
      <c r="L22" s="784" t="s">
        <v>1746</v>
      </c>
      <c r="M22" s="817">
        <f ca="1">INDIRECT("'数据-取费表'!Ak"&amp;$G$1)</f>
        <v>0.01</v>
      </c>
    </row>
    <row r="23" spans="1:33" s="2048" customFormat="1" ht="18" customHeight="1">
      <c r="A23" s="1633" t="s">
        <v>1830</v>
      </c>
      <c r="B23" s="784" t="s">
        <v>2530</v>
      </c>
      <c r="C23" s="53">
        <f ca="1">ROUND(IF('数据-取费表'!B22&lt;=1,(C19+C20)*F24*F23/2,(C19+C20)*(POWER((1+F24),F23/2)-1)),0)</f>
        <v>239</v>
      </c>
      <c r="D23" s="2534" t="str">
        <f>IF(F23&lt;=1,"(建造成本+管理费用)×利率×(建设周期÷2)","(建造成本+管理费用)×((1+利率)^(建设周期÷2)-1)")</f>
        <v>(建造成本+管理费用)×((1+利率)^(建设周期÷2)-1)</v>
      </c>
      <c r="E23" s="784" t="s">
        <v>1769</v>
      </c>
      <c r="F23" s="640">
        <f>'数据-取费表'!B20</f>
        <v>2.5</v>
      </c>
      <c r="G23" s="1579"/>
      <c r="H23" s="1634" t="s">
        <v>1889</v>
      </c>
      <c r="I23" s="784" t="s">
        <v>678</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1771</v>
      </c>
      <c r="C24" s="53">
        <f ca="1">ROUND(IF('数据-取费表'!B22&lt;=1,F21*F24*F23/2,F21*(POWER((1+F24),F23/2)-1)),4)</f>
        <v>8.9999999999999998E-4</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1774</v>
      </c>
      <c r="E25" s="1966"/>
      <c r="F25" s="56"/>
      <c r="G25" s="1578"/>
      <c r="H25" s="1813" t="s">
        <v>1775</v>
      </c>
      <c r="I25" s="2961" t="s">
        <v>2817</v>
      </c>
      <c r="J25" s="792">
        <f ca="1">J5-J16</f>
        <v>-471</v>
      </c>
      <c r="K25" s="2511" t="s">
        <v>1776</v>
      </c>
      <c r="L25" s="2512"/>
      <c r="M25" s="2513"/>
    </row>
    <row r="26" spans="1:33" ht="18" customHeight="1">
      <c r="A26" s="1633" t="s">
        <v>1830</v>
      </c>
      <c r="B26" s="784" t="s">
        <v>2435</v>
      </c>
      <c r="C26" s="53">
        <f ca="1">ROUND((C19+C20)*F26,0)</f>
        <v>401</v>
      </c>
      <c r="D26" s="812" t="s">
        <v>1777</v>
      </c>
      <c r="E26" s="795" t="s">
        <v>1778</v>
      </c>
      <c r="F26" s="794">
        <f ca="1">INDIRECT("'数据-取费表'!q"&amp;$G$1)</f>
        <v>0.1</v>
      </c>
      <c r="G26" s="1578"/>
      <c r="H26" s="2465" t="s">
        <v>1779</v>
      </c>
      <c r="I26" s="2216" t="s">
        <v>2822</v>
      </c>
      <c r="J26" s="783">
        <f ca="1">IF(J5&lt;&gt;0,ROUND(J25*(1-((1+M28)/(1+M26))^M27)/(M26-M28),0),0)</f>
        <v>0</v>
      </c>
      <c r="K26" s="814" t="s">
        <v>1780</v>
      </c>
      <c r="L26" s="784" t="s">
        <v>2416</v>
      </c>
      <c r="M26" s="794">
        <f ca="1">INDIRECT("'数据-取费表'!I"&amp;$G$1)</f>
        <v>0.05</v>
      </c>
    </row>
    <row r="27" spans="1:33" ht="18" customHeight="1">
      <c r="A27" s="1633" t="s">
        <v>1831</v>
      </c>
      <c r="B27" s="784" t="s">
        <v>685</v>
      </c>
      <c r="C27" s="53">
        <f ca="1">ROUND(F21*F26,4)</f>
        <v>1.5E-3</v>
      </c>
      <c r="D27" s="812" t="s">
        <v>1781</v>
      </c>
      <c r="E27" s="806"/>
      <c r="F27" s="807"/>
      <c r="G27" s="1578"/>
      <c r="H27" s="2466"/>
      <c r="I27" s="787"/>
      <c r="J27" s="788"/>
      <c r="K27" s="821" t="s">
        <v>1782</v>
      </c>
      <c r="L27" s="784" t="s">
        <v>1783</v>
      </c>
      <c r="M27" s="822">
        <f ca="1">INDIRECT("'数据-取费表'!ag"&amp;$G$1)</f>
        <v>0</v>
      </c>
    </row>
    <row r="28" spans="1:33" s="2048" customFormat="1" ht="18" customHeight="1">
      <c r="A28" s="1635" t="s">
        <v>1840</v>
      </c>
      <c r="B28" s="784" t="s">
        <v>686</v>
      </c>
      <c r="C28" s="53">
        <f>ROUND(F28/(1+'数据-取费表'!C42),4)</f>
        <v>5.33E-2</v>
      </c>
      <c r="D28" s="812" t="s">
        <v>2297</v>
      </c>
      <c r="E28" s="784" t="s">
        <v>1784</v>
      </c>
      <c r="F28" s="809">
        <f>'数据-取费表'!B41</f>
        <v>5.6000000000000001E-2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2298</v>
      </c>
      <c r="C29" s="2507">
        <f ca="1">ROUND((C19+C20+C23+C26)/(1-F21-C24-C27-C28),0)</f>
        <v>5001</v>
      </c>
      <c r="D29" s="2508"/>
      <c r="E29" s="2509"/>
      <c r="F29" s="2510"/>
      <c r="G29" s="1579"/>
      <c r="H29" s="823" t="s">
        <v>1786</v>
      </c>
      <c r="I29" s="824" t="s">
        <v>1787</v>
      </c>
      <c r="J29" s="825">
        <f ca="1">ROUND(J26/(1+F40)^F41,0)</f>
        <v>0</v>
      </c>
      <c r="K29" s="826" t="s">
        <v>1788</v>
      </c>
      <c r="L29" s="827"/>
      <c r="M29" s="828">
        <f ca="1">INDIRECT("'数据-取费表'!k"&amp;$G$1)</f>
        <v>11174.849999999999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153</v>
      </c>
      <c r="D30" s="1805" t="s">
        <v>1790</v>
      </c>
      <c r="E30" s="2449"/>
      <c r="F30" s="2454"/>
      <c r="G30" s="2046"/>
      <c r="H30" s="2049"/>
      <c r="I30" s="2050"/>
      <c r="J30" s="2051"/>
      <c r="K30" s="2052"/>
      <c r="L30" s="2053"/>
      <c r="M30" s="2054"/>
    </row>
    <row r="31" spans="1:33" ht="18" customHeight="1">
      <c r="A31" s="1634" t="s">
        <v>1829</v>
      </c>
      <c r="B31" s="784" t="s">
        <v>655</v>
      </c>
      <c r="C31" s="53">
        <f ca="1">ROUND(IF(项目基本情况!B11="自然人",C5*F31,C32+C33+C34),1)</f>
        <v>90.6</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1793</v>
      </c>
      <c r="C32" s="53">
        <f ca="1">ROUND(C5*F32/1.05,1)</f>
        <v>27.5</v>
      </c>
      <c r="D32" s="1961" t="s">
        <v>1794</v>
      </c>
      <c r="E32" s="784" t="s">
        <v>1795</v>
      </c>
      <c r="F32" s="809">
        <f>'数据-取费表'!B41</f>
        <v>5.6000000000000001E-2</v>
      </c>
      <c r="G32" s="2046"/>
      <c r="H32" s="2055"/>
      <c r="I32" s="2056"/>
      <c r="J32" s="2057"/>
      <c r="K32" s="2058"/>
      <c r="L32" s="2059"/>
      <c r="M32" s="2060"/>
    </row>
    <row r="33" spans="1:18" ht="18" customHeight="1">
      <c r="A33" s="1633" t="s">
        <v>1831</v>
      </c>
      <c r="B33" s="784" t="s">
        <v>1796</v>
      </c>
      <c r="C33" s="53">
        <f ca="1">IF(D33="按租金收入计税",ROUND(C5*F33,1),IF(D33="按房产原值计税",ROUND(C29*F33*0.7,1),INDIRECT("'数据-取费表'!Aj"&amp;$G$1)))</f>
        <v>61.8</v>
      </c>
      <c r="D33" s="811" t="s">
        <v>3004</v>
      </c>
      <c r="E33" s="784" t="s">
        <v>1795</v>
      </c>
      <c r="F33" s="809">
        <f>IF(D33="按租金收入计税",'数据-取费表'!B51,'数据-取费表'!B50)</f>
        <v>0.12</v>
      </c>
      <c r="G33" s="2046"/>
      <c r="H33" s="2061"/>
      <c r="I33" s="2061"/>
      <c r="J33" s="2061"/>
      <c r="K33" s="2062"/>
      <c r="L33" s="2061"/>
      <c r="M33" s="2061"/>
    </row>
    <row r="34" spans="1:18" ht="18" customHeight="1">
      <c r="A34" s="1636" t="s">
        <v>1832</v>
      </c>
      <c r="B34" s="341" t="s">
        <v>1797</v>
      </c>
      <c r="C34" s="54">
        <f ca="1">ROUND(F34*F35/10000,1)</f>
        <v>1.3</v>
      </c>
      <c r="D34" s="814" t="s">
        <v>1798</v>
      </c>
      <c r="E34" s="784" t="s">
        <v>1799</v>
      </c>
      <c r="F34" s="640">
        <f>'数据-取费表'!B52</f>
        <v>6.4</v>
      </c>
      <c r="G34" s="2046"/>
      <c r="H34" s="2049"/>
      <c r="I34" s="835" t="s">
        <v>1812</v>
      </c>
      <c r="J34" s="836"/>
      <c r="K34" s="2064"/>
      <c r="L34" s="2063"/>
      <c r="M34" s="2063"/>
    </row>
    <row r="35" spans="1:18" ht="18" customHeight="1">
      <c r="A35" s="815"/>
      <c r="B35" s="793"/>
      <c r="C35" s="69"/>
      <c r="D35" s="816"/>
      <c r="E35" s="784" t="s">
        <v>1800</v>
      </c>
      <c r="F35" s="785">
        <f ca="1">INDIRECT("'数据-取费表'!r"&amp;$G$1)</f>
        <v>2016.0900000000001</v>
      </c>
      <c r="G35" s="2046"/>
      <c r="H35" s="2049"/>
      <c r="I35" s="837" t="s">
        <v>1813</v>
      </c>
      <c r="J35" s="838">
        <f ca="1">ROUND(C13*J36,0)</f>
        <v>425</v>
      </c>
      <c r="K35" s="2062"/>
      <c r="L35" s="2061"/>
      <c r="M35" s="2061"/>
    </row>
    <row r="36" spans="1:18" ht="18" customHeight="1">
      <c r="A36" s="1634" t="s">
        <v>1888</v>
      </c>
      <c r="B36" s="784" t="s">
        <v>1801</v>
      </c>
      <c r="C36" s="53">
        <f ca="1">ROUND(C29*F36,1)</f>
        <v>50</v>
      </c>
      <c r="D36" s="1961" t="s">
        <v>1802</v>
      </c>
      <c r="E36" s="784" t="s">
        <v>1795</v>
      </c>
      <c r="F36" s="817">
        <f ca="1">INDIRECT("'数据-取费表'!Ak"&amp;$G$1)</f>
        <v>0.01</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7.5</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5.2</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2817</v>
      </c>
      <c r="C39" s="792">
        <f ca="1">C5-C30</f>
        <v>362</v>
      </c>
      <c r="D39" s="2511" t="s">
        <v>1805</v>
      </c>
      <c r="E39" s="2512"/>
      <c r="F39" s="2513"/>
      <c r="G39" s="2046"/>
      <c r="H39" s="2061"/>
      <c r="I39" s="837" t="s">
        <v>1817</v>
      </c>
      <c r="J39" s="845">
        <f ca="1">ROUND(J35/C39,3)</f>
        <v>1.1739999999999999</v>
      </c>
      <c r="K39" s="2067"/>
      <c r="L39" s="2061"/>
      <c r="M39" s="2061"/>
    </row>
    <row r="40" spans="1:18" ht="18" customHeight="1">
      <c r="A40" s="781" t="s">
        <v>1894</v>
      </c>
      <c r="B40" s="2216" t="s">
        <v>2299</v>
      </c>
      <c r="C40" s="783">
        <f ca="1">ROUND(C39*(1-((1+F42)/(1+F40))^F41)/(F40-F42),0)</f>
        <v>8913</v>
      </c>
      <c r="D40" s="814" t="s">
        <v>1806</v>
      </c>
      <c r="E40" s="784" t="s">
        <v>2416</v>
      </c>
      <c r="F40" s="794">
        <f ca="1">INDIRECT("'数据-取费表'!I"&amp;$G$1)</f>
        <v>0.05</v>
      </c>
      <c r="G40" s="2046"/>
      <c r="H40" s="2046"/>
      <c r="I40" s="837" t="s">
        <v>1818</v>
      </c>
      <c r="J40" s="845">
        <f ca="1">1-J39</f>
        <v>-0.17399999999999993</v>
      </c>
      <c r="K40" s="2067"/>
      <c r="L40" s="2046"/>
      <c r="M40" s="2046"/>
    </row>
    <row r="41" spans="1:18" ht="18" customHeight="1">
      <c r="A41" s="786"/>
      <c r="B41" s="787"/>
      <c r="C41" s="788"/>
      <c r="D41" s="821" t="s">
        <v>1807</v>
      </c>
      <c r="E41" s="784" t="s">
        <v>2957</v>
      </c>
      <c r="F41" s="822">
        <f ca="1">IF(INDIRECT("'数据-取费表'!af"&amp;$G$1)=0,INDIRECT("'数据-取费表'!ae"&amp;$G$1),INDIRECT("'数据-取费表'!af"&amp;$G$1))</f>
        <v>35.26</v>
      </c>
      <c r="G41" s="2046"/>
      <c r="H41" s="1972"/>
      <c r="I41" s="843" t="s">
        <v>1819</v>
      </c>
      <c r="J41" s="846"/>
      <c r="K41" s="2066"/>
      <c r="L41" s="1972"/>
      <c r="M41" s="1972"/>
    </row>
    <row r="42" spans="1:18" ht="18" customHeight="1">
      <c r="A42" s="790"/>
      <c r="B42" s="791"/>
      <c r="C42" s="792"/>
      <c r="D42" s="816"/>
      <c r="E42" s="784" t="s">
        <v>1808</v>
      </c>
      <c r="F42" s="794">
        <f ca="1">INDIRECT("'数据-取费表'!v"&amp;$G$1)</f>
        <v>0.03</v>
      </c>
      <c r="G42" s="2046"/>
      <c r="H42" s="1972"/>
      <c r="I42" s="847" t="s">
        <v>1820</v>
      </c>
      <c r="J42" s="845">
        <f ca="1">ROUND(C13/C40,3)</f>
        <v>0.56100000000000005</v>
      </c>
      <c r="K42" s="2066"/>
      <c r="L42" s="1972"/>
      <c r="M42" s="1972"/>
    </row>
    <row r="43" spans="1:18" ht="18" customHeight="1" thickBot="1">
      <c r="A43" s="823" t="s">
        <v>1786</v>
      </c>
      <c r="B43" s="824" t="s">
        <v>1809</v>
      </c>
      <c r="C43" s="825">
        <f ca="1">ROUND(C40*10000/F43,0)</f>
        <v>7976</v>
      </c>
      <c r="D43" s="826" t="s">
        <v>1810</v>
      </c>
      <c r="E43" s="827" t="s">
        <v>1811</v>
      </c>
      <c r="F43" s="828">
        <f ca="1">INDIRECT("'数据-取费表'!k"&amp;$G$1)</f>
        <v>11174.849999999999</v>
      </c>
      <c r="G43" s="2046"/>
      <c r="H43" s="1972"/>
      <c r="I43" s="847" t="s">
        <v>1821</v>
      </c>
      <c r="J43" s="848">
        <f ca="1">1-J42</f>
        <v>0.43899999999999995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-9882</v>
      </c>
      <c r="D46" s="2069"/>
      <c r="E46" s="2069"/>
      <c r="F46" s="2069"/>
      <c r="I46" s="2341" t="s">
        <v>2340</v>
      </c>
      <c r="J46" s="2342"/>
      <c r="K46" s="2343"/>
      <c r="L46" s="3108">
        <f>IF(OR(M47="住宅",D1="土地（套用方法）"),0,IF(L48&gt;J51,L60,J60))</f>
        <v>0</v>
      </c>
      <c r="O46" s="2357" t="s">
        <v>2407</v>
      </c>
      <c r="P46" s="1578"/>
      <c r="Q46" s="1589"/>
      <c r="R46" s="1578"/>
    </row>
    <row r="47" spans="1:18" s="2043" customFormat="1" ht="18" customHeight="1" thickBot="1">
      <c r="A47" s="2335">
        <v>1</v>
      </c>
      <c r="B47" s="2336" t="s">
        <v>634</v>
      </c>
      <c r="C47" s="2537">
        <f ca="1">C48+C52+C54</f>
        <v>0</v>
      </c>
      <c r="D47" s="2069"/>
      <c r="E47" s="2069"/>
      <c r="F47" s="2069"/>
      <c r="I47" s="3098" t="s">
        <v>2341</v>
      </c>
      <c r="J47" s="2344" t="s">
        <v>3005</v>
      </c>
      <c r="K47" s="3105" t="s">
        <v>2346</v>
      </c>
      <c r="L47" s="3109">
        <f ca="1">INDIRECT("'数据-取费表'!d"&amp;$G$1)</f>
        <v>40</v>
      </c>
      <c r="M47" s="1589" t="str">
        <f>IF(ISNUMBER(FIND("住宅",C1)),"住宅","非住宅")</f>
        <v>非住宅</v>
      </c>
      <c r="O47" s="2358" t="s">
        <v>2372</v>
      </c>
      <c r="P47" s="2359" t="s">
        <v>2373</v>
      </c>
      <c r="Q47" s="2360" t="s">
        <v>2374</v>
      </c>
      <c r="R47" s="2359" t="s">
        <v>2375</v>
      </c>
    </row>
    <row r="48" spans="1:18" s="2043" customFormat="1" ht="18" customHeight="1" thickBot="1">
      <c r="A48" s="2605" t="s">
        <v>2532</v>
      </c>
      <c r="B48" s="2606" t="s">
        <v>2533</v>
      </c>
      <c r="C48" s="2337">
        <f ca="1">ROUND(F48*F50*F49*(1-F51)/10000,0)</f>
        <v>0</v>
      </c>
      <c r="D48" s="2338" t="s">
        <v>635</v>
      </c>
      <c r="E48" s="2339" t="s">
        <v>2294</v>
      </c>
      <c r="F48" s="2340"/>
      <c r="G48" s="2074"/>
      <c r="I48" s="3077" t="s">
        <v>2342</v>
      </c>
      <c r="J48" s="2345" t="s">
        <v>2347</v>
      </c>
      <c r="K48" s="3106" t="s">
        <v>2348</v>
      </c>
      <c r="L48" s="1892">
        <f ca="1">INDIRECT("'数据-取费表'!f"&amp;$G$1)</f>
        <v>37.76</v>
      </c>
      <c r="O48" s="2361" t="s">
        <v>2376</v>
      </c>
      <c r="P48" s="2362" t="s">
        <v>2402</v>
      </c>
      <c r="Q48" s="2363">
        <f ca="1">C40+J29</f>
        <v>8913</v>
      </c>
      <c r="R48" s="2362" t="s">
        <v>2377</v>
      </c>
    </row>
    <row r="49" spans="1:18" s="2043" customFormat="1" ht="18" customHeight="1" thickBot="1">
      <c r="A49" s="786"/>
      <c r="B49" s="787"/>
      <c r="C49" s="788"/>
      <c r="D49" s="789"/>
      <c r="E49" s="784" t="s">
        <v>1738</v>
      </c>
      <c r="F49" s="785">
        <f ca="1">F7</f>
        <v>11174.849999999999</v>
      </c>
      <c r="G49" s="2074"/>
      <c r="H49" s="2077"/>
      <c r="I49" s="3077" t="s">
        <v>2343</v>
      </c>
      <c r="J49" s="2346"/>
      <c r="K49" s="3107" t="s">
        <v>2349</v>
      </c>
      <c r="L49" s="2347"/>
      <c r="O49" s="2361" t="s">
        <v>2378</v>
      </c>
      <c r="P49" s="2362" t="s">
        <v>2403</v>
      </c>
      <c r="Q49" s="2363" t="str">
        <f ca="1">J60</f>
        <v>0</v>
      </c>
      <c r="R49" s="2362" t="s">
        <v>2379</v>
      </c>
    </row>
    <row r="50" spans="1:18" s="2043" customFormat="1" ht="18" customHeight="1" thickBot="1">
      <c r="A50" s="786"/>
      <c r="B50" s="787"/>
      <c r="C50" s="788"/>
      <c r="D50" s="789"/>
      <c r="E50" s="784" t="s">
        <v>1739</v>
      </c>
      <c r="F50" s="785">
        <f ca="1">F8</f>
        <v>365</v>
      </c>
      <c r="G50" s="2079"/>
      <c r="H50" s="2077"/>
      <c r="I50" s="3077" t="s">
        <v>2344</v>
      </c>
      <c r="J50" s="3102">
        <f>SUMPRODUCT((I63:I65=J47)*(J62:L62=J48)*(J63:L65))</f>
        <v>60</v>
      </c>
      <c r="K50" s="3107" t="s">
        <v>2350</v>
      </c>
      <c r="L50" s="2347"/>
      <c r="O50" s="2364" t="s">
        <v>2380</v>
      </c>
      <c r="P50" s="2362" t="s">
        <v>2404</v>
      </c>
      <c r="Q50" s="2363">
        <f ca="1">C29</f>
        <v>5001</v>
      </c>
      <c r="R50" s="2362" t="s">
        <v>2377</v>
      </c>
    </row>
    <row r="51" spans="1:18" s="2043" customFormat="1" ht="18" customHeight="1" thickBot="1">
      <c r="A51" s="786"/>
      <c r="B51" s="787"/>
      <c r="C51" s="788"/>
      <c r="D51" s="789"/>
      <c r="E51" s="784" t="s">
        <v>639</v>
      </c>
      <c r="F51" s="2334"/>
      <c r="H51" s="2077"/>
      <c r="I51" s="3099" t="s">
        <v>2345</v>
      </c>
      <c r="J51" s="3103">
        <f>IF(J49="",J50,J49+J50-YEAR('数据-取费表'!B2))</f>
        <v>60</v>
      </c>
      <c r="K51" s="3077" t="s">
        <v>2351</v>
      </c>
      <c r="L51" s="3110">
        <f ca="1">ROUND(-PV(INDIRECT("'数据-取费表'!h"&amp;$G$1),L48,(C39-C13*J36),0),0)</f>
        <v>-1136</v>
      </c>
      <c r="O51" s="2364" t="s">
        <v>2381</v>
      </c>
      <c r="P51" s="2362" t="s">
        <v>2382</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2968</v>
      </c>
      <c r="E52" s="2461" t="s">
        <v>2459</v>
      </c>
      <c r="F52" s="2584"/>
      <c r="I52" s="3100" t="s">
        <v>2418</v>
      </c>
      <c r="J52" s="2348">
        <v>0.09</v>
      </c>
      <c r="K52" s="3100" t="s">
        <v>2417</v>
      </c>
      <c r="L52" s="2348"/>
      <c r="O52" s="2364" t="s">
        <v>2383</v>
      </c>
      <c r="P52" s="2362" t="s">
        <v>2384</v>
      </c>
      <c r="Q52" s="2365">
        <f>J52</f>
        <v>0.09</v>
      </c>
      <c r="R52" s="2366"/>
    </row>
    <row r="53" spans="1:18" s="2043" customFormat="1" ht="39.75" customHeight="1" thickBot="1">
      <c r="A53" s="786"/>
      <c r="B53" s="2458" t="s">
        <v>2568</v>
      </c>
      <c r="C53" s="2462"/>
      <c r="D53" s="2464"/>
      <c r="E53" s="2461"/>
      <c r="F53" s="800"/>
      <c r="I53" s="3101" t="s">
        <v>2971</v>
      </c>
      <c r="J53" s="3104">
        <f ca="1">IF(M47="住宅",IF(D1="——",MAX(J51,L48),MAX(J51,L48-'数据-取费表'!B20)),IF(D1="——",MIN(J51,L48),MIN(J51,L48-'数据-取费表'!B20)))</f>
        <v>35.26</v>
      </c>
      <c r="K53" s="3467" t="s">
        <v>2959</v>
      </c>
      <c r="L53" s="3468"/>
      <c r="O53" s="2364" t="s">
        <v>2385</v>
      </c>
      <c r="P53" s="2362" t="s">
        <v>2386</v>
      </c>
      <c r="Q53" s="2363">
        <f ca="1">J53</f>
        <v>35.26</v>
      </c>
      <c r="R53" s="2362" t="s">
        <v>2387</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8913</v>
      </c>
      <c r="R54" s="2366" t="s">
        <v>2389</v>
      </c>
    </row>
    <row r="55" spans="1:18" s="2043" customFormat="1" ht="18" customHeight="1" thickTop="1" thickBot="1">
      <c r="A55" s="797">
        <v>2</v>
      </c>
      <c r="B55" s="798" t="s">
        <v>643</v>
      </c>
      <c r="C55" s="799">
        <f ca="1">C13</f>
        <v>5001</v>
      </c>
      <c r="D55" s="795"/>
      <c r="E55" s="795"/>
      <c r="F55" s="800"/>
      <c r="I55" s="3113" t="s">
        <v>2352</v>
      </c>
      <c r="J55" s="3052" t="e">
        <f ca="1">ROUND(IF(J47="钢混",J57/J50,1-(1-2%)*(J50-J57)/J50),3)</f>
        <v>#VALUE!</v>
      </c>
      <c r="K55" s="3114" t="s">
        <v>2353</v>
      </c>
      <c r="L55" s="2349"/>
      <c r="O55" s="2367" t="s">
        <v>2408</v>
      </c>
      <c r="P55" s="1578"/>
      <c r="Q55" s="1589"/>
      <c r="R55" s="1578"/>
    </row>
    <row r="56" spans="1:18" s="2043" customFormat="1" ht="42.75" customHeight="1" thickBot="1">
      <c r="A56" s="1635"/>
      <c r="B56" s="2215" t="s">
        <v>2300</v>
      </c>
      <c r="C56" s="53">
        <f ca="1">C29</f>
        <v>5001</v>
      </c>
      <c r="D56" s="2602"/>
      <c r="E56" s="784"/>
      <c r="F56" s="809"/>
      <c r="I56" s="3115" t="s">
        <v>2354</v>
      </c>
      <c r="J56" s="3125" t="s">
        <v>1677</v>
      </c>
      <c r="K56" s="3077" t="s">
        <v>2359</v>
      </c>
      <c r="L56" s="1892" t="str">
        <f ca="1">IF(L48&lt;J51,"——",L48-J51)</f>
        <v>——</v>
      </c>
      <c r="O56" s="2358" t="s">
        <v>2372</v>
      </c>
      <c r="P56" s="2359" t="s">
        <v>2373</v>
      </c>
      <c r="Q56" s="2360" t="s">
        <v>2374</v>
      </c>
      <c r="R56" s="2359" t="s">
        <v>2375</v>
      </c>
    </row>
    <row r="57" spans="1:18" s="2043" customFormat="1" ht="28.5" customHeight="1" thickBot="1">
      <c r="A57" s="797" t="s">
        <v>1747</v>
      </c>
      <c r="B57" s="798" t="s">
        <v>650</v>
      </c>
      <c r="C57" s="799">
        <f ca="1">ROUND(C58+C63+C64+C65,0)</f>
        <v>59</v>
      </c>
      <c r="D57" s="26" t="s">
        <v>1749</v>
      </c>
      <c r="E57" s="2603"/>
      <c r="F57" s="56"/>
      <c r="I57" s="3116" t="s">
        <v>2355</v>
      </c>
      <c r="J57" s="3117" t="str">
        <f ca="1">IF(OR(M47="住宅",J51&lt;L48,J56="是"),"——",J51-L48)</f>
        <v>——</v>
      </c>
      <c r="K57" s="3077" t="s">
        <v>2360</v>
      </c>
      <c r="L57" s="1892" t="str">
        <f ca="1">IF(L48&lt;J51,"——",IF(L55="比较法",L49,IF(L55="基准地价",L50,L51)))</f>
        <v>——</v>
      </c>
      <c r="O57" s="2361" t="s">
        <v>2376</v>
      </c>
      <c r="P57" s="2362" t="s">
        <v>2406</v>
      </c>
      <c r="Q57" s="2363">
        <f ca="1">C40+J29</f>
        <v>8913</v>
      </c>
      <c r="R57" s="2362" t="s">
        <v>2377</v>
      </c>
    </row>
    <row r="58" spans="1:18" s="2043" customFormat="1" ht="28.5" customHeight="1" thickBot="1">
      <c r="A58" s="1634" t="s">
        <v>1823</v>
      </c>
      <c r="B58" s="784" t="s">
        <v>655</v>
      </c>
      <c r="C58" s="53">
        <f ca="1">ROUND(IF(项目基本情况!B11="自然人",C47*F58,C59+C60+C61),1)</f>
        <v>1.3</v>
      </c>
      <c r="D58" s="2601" t="s">
        <v>656</v>
      </c>
      <c r="E58" s="2602" t="s">
        <v>689</v>
      </c>
      <c r="F58" s="810" t="str">
        <f ca="1">IF(项目基本情况!B11="企业","",IF(INDIRECT("'数据-取费表'!c"&amp;$G$1)="住宅",5%,IF(F48*F49*F50/12/(1+'数据-取费表'!C42)&gt;20000,12%,7%)))</f>
        <v/>
      </c>
      <c r="I58" s="3116" t="s">
        <v>2356</v>
      </c>
      <c r="J58" s="3053" t="e">
        <f ca="1">IF(J55&lt;0.4,0.4,J55)</f>
        <v>#VALUE!</v>
      </c>
      <c r="K58" s="3077" t="s">
        <v>2361</v>
      </c>
      <c r="L58" s="1892" t="e">
        <f ca="1">ROUND(POWER(1+L52,L47-L48)*(POWER(1+L52,L48)-1)/(POWER(1+L52,L47)-1),4)</f>
        <v>#DIV/0!</v>
      </c>
      <c r="O58" s="2361" t="s">
        <v>2378</v>
      </c>
      <c r="P58" s="2362" t="s">
        <v>2409</v>
      </c>
      <c r="Q58" s="2363">
        <f ca="1">L60</f>
        <v>0</v>
      </c>
      <c r="R58" s="2366" t="s">
        <v>2411</v>
      </c>
    </row>
    <row r="59" spans="1:18" s="2043" customFormat="1" ht="28.5" customHeight="1" thickBot="1">
      <c r="A59" s="1633" t="s">
        <v>1830</v>
      </c>
      <c r="B59" s="784" t="s">
        <v>659</v>
      </c>
      <c r="C59" s="53">
        <f ca="1">ROUND(C47*F59/1.05,1)</f>
        <v>0</v>
      </c>
      <c r="D59" s="2602" t="s">
        <v>1755</v>
      </c>
      <c r="E59" s="784" t="s">
        <v>1746</v>
      </c>
      <c r="F59" s="809">
        <f t="shared" ref="F59:F65" si="0">F32</f>
        <v>5.6000000000000001E-2</v>
      </c>
      <c r="I59" s="3116" t="s">
        <v>2357</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3"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8" t="s">
        <v>2358</v>
      </c>
      <c r="J60" s="3119" t="str">
        <f ca="1">IF(OR(M47="住宅",J51&lt;L48,J56="是"),"0",ROUND(J59/(1+J52)^J53,0))</f>
        <v>0</v>
      </c>
      <c r="K60" s="3120" t="s">
        <v>2363</v>
      </c>
      <c r="L60" s="3119">
        <f ca="1">IF(OR(M47="住宅",L48&lt;J51),0,ROUND(L57*(L58/L59-1),0))</f>
        <v>0</v>
      </c>
      <c r="O60" s="2364" t="s">
        <v>2381</v>
      </c>
      <c r="P60" s="2362" t="s">
        <v>2390</v>
      </c>
      <c r="Q60" s="2365">
        <f>L52</f>
        <v>0</v>
      </c>
      <c r="R60" s="2366"/>
    </row>
    <row r="61" spans="1:18" s="2043" customFormat="1" ht="18" customHeight="1" thickBot="1">
      <c r="A61" s="1636" t="s">
        <v>1832</v>
      </c>
      <c r="B61" s="341" t="s">
        <v>667</v>
      </c>
      <c r="C61" s="54">
        <f ca="1">ROUND(F61*F62/10000,1)</f>
        <v>1.3</v>
      </c>
      <c r="D61" s="814" t="s">
        <v>668</v>
      </c>
      <c r="E61" s="784" t="s">
        <v>669</v>
      </c>
      <c r="F61" s="640">
        <f t="shared" si="0"/>
        <v>6.4</v>
      </c>
      <c r="K61" s="2070"/>
      <c r="O61" s="2364" t="s">
        <v>2383</v>
      </c>
      <c r="P61" s="2362" t="s">
        <v>2391</v>
      </c>
      <c r="Q61" s="2363" t="e">
        <f ca="1">L58</f>
        <v>#DIV/0!</v>
      </c>
      <c r="R61" s="2366" t="s">
        <v>2392</v>
      </c>
    </row>
    <row r="62" spans="1:18" s="2043" customFormat="1" ht="15.75" thickBot="1">
      <c r="A62" s="815"/>
      <c r="B62" s="793"/>
      <c r="C62" s="69"/>
      <c r="D62" s="816"/>
      <c r="E62" s="784" t="s">
        <v>673</v>
      </c>
      <c r="F62" s="785">
        <f t="shared" ca="1" si="0"/>
        <v>2016.0900000000001</v>
      </c>
      <c r="I62" s="3121" t="s">
        <v>2364</v>
      </c>
      <c r="J62" s="3122" t="s">
        <v>2365</v>
      </c>
      <c r="K62" s="3122" t="s">
        <v>2366</v>
      </c>
      <c r="L62" s="3122" t="s">
        <v>2347</v>
      </c>
      <c r="M62" s="3123" t="s">
        <v>2936</v>
      </c>
      <c r="O62" s="2364" t="s">
        <v>2385</v>
      </c>
      <c r="P62" s="2362" t="str">
        <f>K59</f>
        <v>建设期及建筑物耐用年限下的土地年期修正系数Kn</v>
      </c>
      <c r="Q62" s="2363" t="e">
        <f ca="1">L59</f>
        <v>#DIV/0!</v>
      </c>
      <c r="R62" s="2366" t="s">
        <v>2394</v>
      </c>
    </row>
    <row r="63" spans="1:18" s="2043" customFormat="1" ht="15.75" thickBot="1">
      <c r="A63" s="1634" t="s">
        <v>1888</v>
      </c>
      <c r="B63" s="784" t="s">
        <v>675</v>
      </c>
      <c r="C63" s="53">
        <f ca="1">ROUND(C56*F63,1)</f>
        <v>50</v>
      </c>
      <c r="D63" s="2602" t="s">
        <v>1802</v>
      </c>
      <c r="E63" s="784" t="s">
        <v>1746</v>
      </c>
      <c r="F63" s="817">
        <f t="shared" ca="1" si="0"/>
        <v>0.01</v>
      </c>
      <c r="I63" s="3121" t="s">
        <v>2367</v>
      </c>
      <c r="J63" s="3122">
        <v>70</v>
      </c>
      <c r="K63" s="3122">
        <v>50</v>
      </c>
      <c r="L63" s="3122">
        <v>80</v>
      </c>
      <c r="M63" s="3124">
        <v>0.02</v>
      </c>
      <c r="O63" s="2361" t="s">
        <v>2388</v>
      </c>
      <c r="P63" s="2362" t="s">
        <v>2405</v>
      </c>
      <c r="Q63" s="2363">
        <f ca="1">Q57+Q58</f>
        <v>8913</v>
      </c>
      <c r="R63" s="2366" t="s">
        <v>2389</v>
      </c>
    </row>
    <row r="64" spans="1:18" s="2043" customFormat="1" ht="16.5" thickBot="1">
      <c r="A64" s="1634" t="s">
        <v>1889</v>
      </c>
      <c r="B64" s="784" t="s">
        <v>678</v>
      </c>
      <c r="C64" s="53">
        <f ca="1">ROUND(C55*F64,1)</f>
        <v>7.5</v>
      </c>
      <c r="D64" s="2602" t="s">
        <v>679</v>
      </c>
      <c r="E64" s="784" t="s">
        <v>1746</v>
      </c>
      <c r="F64" s="818">
        <f t="shared" ca="1" si="0"/>
        <v>1.5E-3</v>
      </c>
      <c r="I64" s="3121" t="s">
        <v>2368</v>
      </c>
      <c r="J64" s="3122">
        <v>50</v>
      </c>
      <c r="K64" s="3122">
        <v>35</v>
      </c>
      <c r="L64" s="3122">
        <v>60</v>
      </c>
      <c r="M64" s="846">
        <v>0</v>
      </c>
      <c r="O64" s="2367" t="s">
        <v>2412</v>
      </c>
      <c r="P64" s="1578"/>
      <c r="Q64" s="1589"/>
      <c r="R64" s="1578"/>
    </row>
    <row r="65" spans="1:18" s="2043" customFormat="1" ht="15.75" thickBot="1">
      <c r="A65" s="1634" t="s">
        <v>1890</v>
      </c>
      <c r="B65" s="784" t="s">
        <v>665</v>
      </c>
      <c r="C65" s="53">
        <f ca="1">ROUND(C47*F65,1)</f>
        <v>0</v>
      </c>
      <c r="D65" s="2602" t="s">
        <v>682</v>
      </c>
      <c r="E65" s="784" t="s">
        <v>1746</v>
      </c>
      <c r="F65" s="794">
        <f t="shared" ca="1" si="0"/>
        <v>0.01</v>
      </c>
      <c r="I65" s="3121" t="s">
        <v>2369</v>
      </c>
      <c r="J65" s="3122">
        <v>40</v>
      </c>
      <c r="K65" s="3122">
        <v>30</v>
      </c>
      <c r="L65" s="3122">
        <v>50</v>
      </c>
      <c r="M65" s="3124">
        <v>0.02</v>
      </c>
      <c r="O65" s="2358" t="s">
        <v>2372</v>
      </c>
      <c r="P65" s="2359" t="s">
        <v>2373</v>
      </c>
      <c r="Q65" s="2360" t="s">
        <v>2374</v>
      </c>
      <c r="R65" s="2359" t="s">
        <v>2375</v>
      </c>
    </row>
    <row r="66" spans="1:18" s="2043" customFormat="1" ht="24.75" thickBot="1">
      <c r="A66" s="797" t="s">
        <v>1775</v>
      </c>
      <c r="B66" s="2962" t="s">
        <v>2817</v>
      </c>
      <c r="C66" s="799">
        <f ca="1">C47-C57</f>
        <v>-59</v>
      </c>
      <c r="D66" s="2601" t="s">
        <v>699</v>
      </c>
      <c r="E66" s="2600"/>
      <c r="F66" s="820"/>
      <c r="K66" s="2070"/>
      <c r="O66" s="2361" t="s">
        <v>2376</v>
      </c>
      <c r="P66" s="2362" t="s">
        <v>2406</v>
      </c>
      <c r="Q66" s="2363">
        <f ca="1">C40+J29</f>
        <v>8913</v>
      </c>
      <c r="R66" s="2362" t="s">
        <v>2377</v>
      </c>
    </row>
    <row r="67" spans="1:18" s="2043" customFormat="1" ht="20.25" thickBot="1">
      <c r="A67" s="781" t="s">
        <v>1779</v>
      </c>
      <c r="B67" s="2216" t="s">
        <v>2299</v>
      </c>
      <c r="C67" s="783">
        <f ca="1">ROUND(C66*(1-((1+F69)/(1+F67))^F68)/(F67-F69),0)</f>
        <v>-969</v>
      </c>
      <c r="D67" s="814" t="s">
        <v>703</v>
      </c>
      <c r="E67" s="784" t="s">
        <v>704</v>
      </c>
      <c r="F67" s="794">
        <f ca="1">F40</f>
        <v>0.05</v>
      </c>
      <c r="K67" s="2070"/>
      <c r="O67" s="2361" t="s">
        <v>2378</v>
      </c>
      <c r="P67" s="2362" t="s">
        <v>2409</v>
      </c>
      <c r="Q67" s="2363">
        <f ca="1">L60</f>
        <v>0</v>
      </c>
      <c r="R67" s="2366" t="s">
        <v>2411</v>
      </c>
    </row>
    <row r="68" spans="1:18" ht="21.75" thickBot="1">
      <c r="A68" s="786"/>
      <c r="B68" s="787"/>
      <c r="C68" s="788"/>
      <c r="D68" s="821" t="s">
        <v>1807</v>
      </c>
      <c r="E68" s="784" t="s">
        <v>1783</v>
      </c>
      <c r="F68" s="822">
        <f ca="1">F41</f>
        <v>35.26</v>
      </c>
      <c r="O68" s="2364" t="s">
        <v>2380</v>
      </c>
      <c r="P68" s="2362" t="s">
        <v>2410</v>
      </c>
      <c r="Q68" s="2368">
        <f ca="1">L51</f>
        <v>-1136</v>
      </c>
      <c r="R68" s="2369" t="s">
        <v>2413</v>
      </c>
    </row>
    <row r="69" spans="1:18" ht="20.25" thickBot="1">
      <c r="A69" s="790"/>
      <c r="B69" s="791"/>
      <c r="C69" s="792"/>
      <c r="D69" s="816"/>
      <c r="E69" s="784" t="s">
        <v>709</v>
      </c>
      <c r="F69" s="2334"/>
      <c r="O69" s="2364" t="s">
        <v>2381</v>
      </c>
      <c r="P69" s="2370" t="s">
        <v>2395</v>
      </c>
      <c r="Q69" s="2363">
        <f ca="1">ROUND(Q70-Q71*Q72,0)</f>
        <v>-63</v>
      </c>
      <c r="R69" s="2366"/>
    </row>
    <row r="70" spans="1:18" ht="15.75" thickBot="1">
      <c r="A70" s="823" t="s">
        <v>1786</v>
      </c>
      <c r="B70" s="824" t="s">
        <v>1809</v>
      </c>
      <c r="C70" s="825">
        <f ca="1">ROUND(C67*10000/F70,0)</f>
        <v>-867</v>
      </c>
      <c r="D70" s="826" t="s">
        <v>1810</v>
      </c>
      <c r="E70" s="827" t="s">
        <v>1811</v>
      </c>
      <c r="F70" s="828">
        <f ca="1">F43</f>
        <v>11174.849999999999</v>
      </c>
      <c r="O70" s="2364" t="s">
        <v>2396</v>
      </c>
      <c r="P70" s="2370" t="s">
        <v>2397</v>
      </c>
      <c r="Q70" s="2363">
        <f ca="1">C39</f>
        <v>362</v>
      </c>
      <c r="R70" s="2362" t="s">
        <v>2377</v>
      </c>
    </row>
    <row r="71" spans="1:18" ht="15.75" thickBot="1">
      <c r="O71" s="2364" t="s">
        <v>2398</v>
      </c>
      <c r="P71" s="2370" t="s">
        <v>2399</v>
      </c>
      <c r="Q71" s="2363">
        <f ca="1">C13</f>
        <v>5001</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8913</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25" zoomScale="80" zoomScaleNormal="80" workbookViewId="0">
      <selection activeCell="F35" sqref="F35"/>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2990</v>
      </c>
      <c r="D1" s="3076" t="s">
        <v>3002</v>
      </c>
      <c r="E1" s="2350" t="s">
        <v>869</v>
      </c>
      <c r="F1" s="2351">
        <f ca="1">J53</f>
        <v>35.26</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f ca="1">C40+J29+L46</f>
        <v>49879</v>
      </c>
      <c r="C2" s="2041"/>
      <c r="D2" s="2039"/>
      <c r="E2" s="2040"/>
      <c r="F2" s="2040"/>
      <c r="G2" s="1576"/>
      <c r="H2" s="2041"/>
      <c r="I2" s="2041"/>
      <c r="J2" s="2041"/>
      <c r="K2" s="2042"/>
      <c r="L2" s="2041"/>
      <c r="M2" s="2041"/>
    </row>
    <row r="3" spans="1:33" ht="18" customHeight="1" thickBot="1">
      <c r="A3" s="833" t="s">
        <v>518</v>
      </c>
      <c r="B3" s="834">
        <f ca="1">IF(ISERROR(B2*10000/F43),0,ROUND(B2*10000/F43,0))</f>
        <v>10755</v>
      </c>
      <c r="C3" s="2041"/>
      <c r="D3" s="2039"/>
      <c r="E3" s="2040"/>
      <c r="F3" s="2040"/>
      <c r="G3" s="1576"/>
      <c r="H3" s="776" t="s">
        <v>694</v>
      </c>
      <c r="I3" s="1359"/>
      <c r="J3" s="1359"/>
      <c r="K3" s="1577"/>
      <c r="L3" s="1359"/>
      <c r="M3" s="1359"/>
    </row>
    <row r="4" spans="1:33" ht="18" customHeight="1">
      <c r="A4" s="777" t="s">
        <v>697</v>
      </c>
      <c r="B4" s="778" t="s">
        <v>630</v>
      </c>
      <c r="C4" s="778" t="s">
        <v>631</v>
      </c>
      <c r="D4" s="778" t="s">
        <v>632</v>
      </c>
      <c r="E4" s="779" t="s">
        <v>1730</v>
      </c>
      <c r="F4" s="780"/>
      <c r="G4" s="1578"/>
      <c r="H4" s="777" t="s">
        <v>697</v>
      </c>
      <c r="I4" s="778" t="s">
        <v>630</v>
      </c>
      <c r="J4" s="778" t="s">
        <v>631</v>
      </c>
      <c r="K4" s="778" t="s">
        <v>1734</v>
      </c>
      <c r="L4" s="779" t="s">
        <v>1730</v>
      </c>
      <c r="M4" s="780"/>
    </row>
    <row r="5" spans="1:33" ht="18" customHeight="1">
      <c r="A5" s="781">
        <v>1</v>
      </c>
      <c r="B5" s="782" t="s">
        <v>2453</v>
      </c>
      <c r="C5" s="55">
        <f ca="1">C6+C10+C12</f>
        <v>3051</v>
      </c>
      <c r="D5" s="2459" t="s">
        <v>2456</v>
      </c>
      <c r="E5" s="2453"/>
      <c r="F5" s="2454"/>
      <c r="G5" s="1578"/>
      <c r="H5" s="781">
        <v>1</v>
      </c>
      <c r="I5" s="782" t="s">
        <v>2453</v>
      </c>
      <c r="J5" s="55">
        <f ca="1">J6+J10+J12</f>
        <v>0</v>
      </c>
      <c r="K5" s="2459" t="s">
        <v>2456</v>
      </c>
      <c r="L5" s="2453"/>
      <c r="M5" s="2454"/>
    </row>
    <row r="6" spans="1:33" ht="18" customHeight="1">
      <c r="A6" s="1814" t="s">
        <v>1823</v>
      </c>
      <c r="B6" s="3461" t="s">
        <v>2458</v>
      </c>
      <c r="C6" s="783">
        <f ca="1">ROUND(F6*F8*F7*(1-F9)/10000,0)</f>
        <v>3047</v>
      </c>
      <c r="D6" s="2460" t="s">
        <v>2457</v>
      </c>
      <c r="E6" s="784" t="s">
        <v>1737</v>
      </c>
      <c r="F6" s="785">
        <f ca="1">INDIRECT("'数据-取费表'!u"&amp;$G$1)</f>
        <v>2</v>
      </c>
      <c r="G6" s="1578"/>
      <c r="H6" s="2467" t="s">
        <v>1823</v>
      </c>
      <c r="I6" s="3461" t="s">
        <v>2458</v>
      </c>
      <c r="J6" s="783">
        <f ca="1">ROUND(M6*M8*M7*(1-M9)/10000,0)</f>
        <v>0</v>
      </c>
      <c r="K6" s="341" t="s">
        <v>1736</v>
      </c>
      <c r="L6" s="784" t="s">
        <v>1737</v>
      </c>
      <c r="M6" s="785">
        <f ca="1">INDIRECT("'数据-取费表'!z"&amp;$G$1)</f>
        <v>0</v>
      </c>
    </row>
    <row r="7" spans="1:33" ht="18" customHeight="1">
      <c r="A7" s="2463"/>
      <c r="B7" s="3462"/>
      <c r="C7" s="788"/>
      <c r="D7" s="789"/>
      <c r="E7" s="784" t="s">
        <v>637</v>
      </c>
      <c r="F7" s="785">
        <f ca="1">IF(INDIRECT("'数据-取费表'!ah"&amp;$G$1)="",INDIRECT("'数据-取费表'!k"&amp;$G$1),INDIRECT("'数据-取费表'!ah"&amp;$G$1))</f>
        <v>46377.61</v>
      </c>
      <c r="G7" s="1578"/>
      <c r="H7" s="2452"/>
      <c r="I7" s="3462"/>
      <c r="J7" s="788"/>
      <c r="K7" s="789"/>
      <c r="L7" s="784" t="s">
        <v>637</v>
      </c>
      <c r="M7" s="785">
        <f ca="1">F7</f>
        <v>46377.61</v>
      </c>
    </row>
    <row r="8" spans="1:33" ht="18" customHeight="1">
      <c r="A8" s="2456"/>
      <c r="B8" s="3463"/>
      <c r="C8" s="788"/>
      <c r="D8" s="789"/>
      <c r="E8" s="784" t="s">
        <v>638</v>
      </c>
      <c r="F8" s="785">
        <f ca="1">INDIRECT("'数据-取费表'!ai"&amp;$G$1)</f>
        <v>365</v>
      </c>
      <c r="G8" s="1578"/>
      <c r="H8" s="2452"/>
      <c r="I8" s="3463"/>
      <c r="J8" s="788"/>
      <c r="K8" s="789"/>
      <c r="L8" s="784" t="s">
        <v>638</v>
      </c>
      <c r="M8" s="785">
        <f ca="1">INDIRECT("'数据-取费表'!ai"&amp;$G$1)</f>
        <v>365</v>
      </c>
    </row>
    <row r="9" spans="1:33" ht="18" customHeight="1">
      <c r="A9" s="786"/>
      <c r="B9" s="3464"/>
      <c r="C9" s="788"/>
      <c r="D9" s="789"/>
      <c r="E9" s="784" t="s">
        <v>1740</v>
      </c>
      <c r="F9" s="794">
        <f ca="1">INDIRECT("'数据-取费表'!w"&amp;$G$1)</f>
        <v>0.1</v>
      </c>
      <c r="G9" s="1578"/>
      <c r="H9" s="2468"/>
      <c r="I9" s="3463"/>
      <c r="J9" s="788"/>
      <c r="K9" s="789"/>
      <c r="L9" s="795" t="s">
        <v>1740</v>
      </c>
      <c r="M9" s="796">
        <f ca="1">INDIRECT("'数据-取费表'!ab"&amp;$G$1)</f>
        <v>0</v>
      </c>
    </row>
    <row r="10" spans="1:33" ht="18" customHeight="1">
      <c r="A10" s="1814" t="s">
        <v>1824</v>
      </c>
      <c r="B10" s="2457" t="s">
        <v>2454</v>
      </c>
      <c r="C10" s="799">
        <f ca="1">ROUND(IF(F10="押一",C6/12*F11,IF(F10="押二",C6/12*2*F11,IF(F10="押三",C6/12*3*F11,C11*F11))),0)</f>
        <v>4</v>
      </c>
      <c r="D10" s="2464" t="s">
        <v>2967</v>
      </c>
      <c r="E10" s="2461" t="s">
        <v>2459</v>
      </c>
      <c r="F10" s="2584" t="s">
        <v>3003</v>
      </c>
      <c r="G10" s="1578"/>
      <c r="H10" s="2524" t="s">
        <v>1824</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2451</v>
      </c>
      <c r="F11" s="796">
        <f ca="1">'数据-取费表'!B39</f>
        <v>1.4999999999999999E-2</v>
      </c>
      <c r="G11" s="1578"/>
      <c r="H11" s="2525"/>
      <c r="I11" s="2458" t="s">
        <v>2568</v>
      </c>
      <c r="J11" s="2462"/>
      <c r="K11" s="2526"/>
      <c r="L11" s="2461" t="s">
        <v>2451</v>
      </c>
      <c r="M11" s="2455">
        <f ca="1">'数据-取费表'!B39</f>
        <v>1.4999999999999999E-2</v>
      </c>
    </row>
    <row r="12" spans="1:33" ht="18" customHeight="1" thickBot="1">
      <c r="A12" s="2500" t="s">
        <v>2462</v>
      </c>
      <c r="B12" s="2501" t="s">
        <v>2455</v>
      </c>
      <c r="C12" s="2502"/>
      <c r="D12" s="2503"/>
      <c r="E12" s="2504"/>
      <c r="F12" s="2505"/>
      <c r="G12" s="1578"/>
      <c r="H12" s="2514" t="s">
        <v>2462</v>
      </c>
      <c r="I12" s="2527" t="s">
        <v>2455</v>
      </c>
      <c r="J12" s="2528"/>
      <c r="K12" s="2503"/>
      <c r="L12" s="2504"/>
      <c r="M12" s="2517"/>
    </row>
    <row r="13" spans="1:33" ht="18" customHeight="1" thickTop="1">
      <c r="A13" s="1813">
        <v>2</v>
      </c>
      <c r="B13" s="1811" t="s">
        <v>1741</v>
      </c>
      <c r="C13" s="792">
        <f ca="1">ROUND(C29*F13,0)</f>
        <v>26199</v>
      </c>
      <c r="D13" s="1818" t="s">
        <v>2295</v>
      </c>
      <c r="E13" s="1818" t="s">
        <v>642</v>
      </c>
      <c r="F13" s="2499">
        <f ca="1">INDIRECT("'数据-取费表'!y"&amp;$G$1)</f>
        <v>1</v>
      </c>
      <c r="G13" s="1578"/>
      <c r="H13" s="1813">
        <v>2</v>
      </c>
      <c r="I13" s="1811" t="s">
        <v>1741</v>
      </c>
      <c r="J13" s="1803">
        <f ca="1">ROUND(J14*J15,0)</f>
        <v>0</v>
      </c>
      <c r="K13" s="1805" t="s">
        <v>1742</v>
      </c>
      <c r="L13" s="2515"/>
      <c r="M13" s="2516"/>
    </row>
    <row r="14" spans="1:33" ht="18" customHeight="1">
      <c r="A14" s="1633" t="s">
        <v>1830</v>
      </c>
      <c r="B14" s="784" t="s">
        <v>644</v>
      </c>
      <c r="C14" s="804">
        <f ca="1">INDIRECT("'数据-取费表'!m"&amp;$G$1)+INDIRECT("'数据-取费表'!t"&amp;$G$1)</f>
        <v>17685</v>
      </c>
      <c r="D14" s="3196" t="s">
        <v>645</v>
      </c>
      <c r="E14" s="3195"/>
      <c r="F14" s="805"/>
      <c r="G14" s="1578"/>
      <c r="H14" s="1634" t="s">
        <v>1823</v>
      </c>
      <c r="I14" s="2215" t="s">
        <v>2820</v>
      </c>
      <c r="J14" s="53">
        <f ca="1">C29</f>
        <v>26199</v>
      </c>
      <c r="K14" s="26"/>
      <c r="L14" s="801"/>
      <c r="M14" s="802"/>
    </row>
    <row r="15" spans="1:33" s="2048" customFormat="1" ht="18" customHeight="1" thickBot="1">
      <c r="A15" s="1633" t="s">
        <v>1831</v>
      </c>
      <c r="B15" s="784" t="s">
        <v>646</v>
      </c>
      <c r="C15" s="53">
        <f ca="1">ROUND(C14*F15,0)</f>
        <v>707</v>
      </c>
      <c r="D15" s="806" t="s">
        <v>647</v>
      </c>
      <c r="E15" s="806" t="s">
        <v>648</v>
      </c>
      <c r="F15" s="807">
        <f>'数据-取费表'!B33</f>
        <v>0.04</v>
      </c>
      <c r="G15" s="1579"/>
      <c r="H15" s="2514" t="s">
        <v>1888</v>
      </c>
      <c r="I15" s="2509" t="s">
        <v>642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1832</v>
      </c>
      <c r="B16" s="784" t="s">
        <v>649</v>
      </c>
      <c r="C16" s="53">
        <f ca="1">ROUND(INDIRECT("'数据-取费表'!m"&amp;$G$1)*F16,0)</f>
        <v>0</v>
      </c>
      <c r="D16" s="784" t="s">
        <v>647</v>
      </c>
      <c r="E16" s="784" t="s">
        <v>648</v>
      </c>
      <c r="F16" s="809">
        <f ca="1">IF(INDIRECT("'数据-取费表'!c"&amp;$G$1)="住宅",'数据-取费表'!B34,0)</f>
        <v>0</v>
      </c>
      <c r="G16" s="1578"/>
      <c r="H16" s="1813" t="s">
        <v>1747</v>
      </c>
      <c r="I16" s="1811" t="s">
        <v>1748</v>
      </c>
      <c r="J16" s="792">
        <f ca="1">ROUND(J17+J22+J23+J24,0)</f>
        <v>2468</v>
      </c>
      <c r="K16" s="1805" t="s">
        <v>651</v>
      </c>
      <c r="L16" s="3198"/>
      <c r="M16" s="2454"/>
    </row>
    <row r="17" spans="1:33" s="2048" customFormat="1" ht="18" customHeight="1">
      <c r="A17" s="1633" t="s">
        <v>1886</v>
      </c>
      <c r="B17" s="784" t="s">
        <v>652</v>
      </c>
      <c r="C17" s="53">
        <f ca="1">ROUND(F17*(F43+INDIRECT("'数据-取费表'!S"&amp;$G$1))/10000,0)</f>
        <v>1155</v>
      </c>
      <c r="D17" s="784" t="s">
        <v>653</v>
      </c>
      <c r="E17" s="784" t="s">
        <v>654</v>
      </c>
      <c r="F17" s="56">
        <f>'数据-取费表'!B35</f>
        <v>200</v>
      </c>
      <c r="G17" s="1579"/>
      <c r="H17" s="1634" t="s">
        <v>1823</v>
      </c>
      <c r="I17" s="784" t="s">
        <v>655</v>
      </c>
      <c r="J17" s="53">
        <f ca="1">ROUND(IF(项目基本情况!B11="自然人",J5*M17,J18+J19+J20),0)</f>
        <v>2206</v>
      </c>
      <c r="K17" s="3196" t="s">
        <v>1752</v>
      </c>
      <c r="L17" s="3197"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265</v>
      </c>
      <c r="D18" s="784" t="s">
        <v>647</v>
      </c>
      <c r="E18" s="784" t="s">
        <v>648</v>
      </c>
      <c r="F18" s="809">
        <f>'数据-取费表'!B36</f>
        <v>1.4999999999999999E-2</v>
      </c>
      <c r="G18" s="1579"/>
      <c r="H18" s="1633" t="s">
        <v>1830</v>
      </c>
      <c r="I18" s="784" t="s">
        <v>1754</v>
      </c>
      <c r="J18" s="53">
        <f ca="1">ROUND(J5*M18/1.05,1)</f>
        <v>0</v>
      </c>
      <c r="K18" s="3197"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1823</v>
      </c>
      <c r="B19" s="784" t="s">
        <v>661</v>
      </c>
      <c r="C19" s="53">
        <f ca="1">SUM(C14:C18)</f>
        <v>19812</v>
      </c>
      <c r="D19" s="261" t="s">
        <v>662</v>
      </c>
      <c r="E19" s="3199"/>
      <c r="F19" s="56"/>
      <c r="G19" s="1578"/>
      <c r="H19" s="1633" t="s">
        <v>1831</v>
      </c>
      <c r="I19" s="784" t="s">
        <v>663</v>
      </c>
      <c r="J19" s="53">
        <f ca="1">IF(K19="按租金收入计税",ROUND(J5*M19,1),ROUND(C29*F33*0.7,1))</f>
        <v>2200.6999999999998</v>
      </c>
      <c r="K19" s="811" t="s">
        <v>664</v>
      </c>
      <c r="L19" s="784" t="s">
        <v>648</v>
      </c>
      <c r="M19" s="809">
        <f>IF(K19="按租金收入计税",'数据-取费表'!B51,'数据-取费表'!B50)</f>
        <v>1.2E-2</v>
      </c>
    </row>
    <row r="20" spans="1:33" s="2048" customFormat="1" ht="18" customHeight="1">
      <c r="A20" s="1634" t="s">
        <v>1888</v>
      </c>
      <c r="B20" s="784" t="s">
        <v>665</v>
      </c>
      <c r="C20" s="53">
        <f ca="1">ROUND(C19*F20,0)</f>
        <v>297</v>
      </c>
      <c r="D20" s="812" t="s">
        <v>1758</v>
      </c>
      <c r="E20" s="784" t="s">
        <v>648</v>
      </c>
      <c r="F20" s="809">
        <f>'数据-取费表'!B37</f>
        <v>1.4999999999999999E-2</v>
      </c>
      <c r="G20" s="1579"/>
      <c r="H20" s="1636" t="s">
        <v>1832</v>
      </c>
      <c r="I20" s="341" t="s">
        <v>1759</v>
      </c>
      <c r="J20" s="54">
        <f ca="1">ROUND(M20*M21/10000,0)</f>
        <v>5</v>
      </c>
      <c r="K20" s="814" t="s">
        <v>1760</v>
      </c>
      <c r="L20" s="784" t="s">
        <v>1761</v>
      </c>
      <c r="M20" s="640">
        <f>'数据-取费表'!B52</f>
        <v>6.4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670</v>
      </c>
      <c r="C21" s="53" t="s">
        <v>1763</v>
      </c>
      <c r="D21" s="812" t="s">
        <v>2296</v>
      </c>
      <c r="E21" s="784" t="s">
        <v>1764</v>
      </c>
      <c r="F21" s="809">
        <f>'数据-取费表'!B38</f>
        <v>1.4999999999999999E-2</v>
      </c>
      <c r="G21" s="1579"/>
      <c r="H21" s="2469"/>
      <c r="I21" s="793"/>
      <c r="J21" s="69"/>
      <c r="K21" s="816"/>
      <c r="L21" s="784" t="s">
        <v>1765</v>
      </c>
      <c r="M21" s="785">
        <f ca="1">INDIRECT("'数据-取费表'!r"&amp;$G$1)</f>
        <v>8367.11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674</v>
      </c>
      <c r="C22" s="53"/>
      <c r="D22" s="2535" t="str">
        <f>IF(F23&lt;=1,"单利计息。","复利计息。")&amp;"建造成本、管理费用、销售费用产生的利息。"</f>
        <v>复利计息。建造成本、管理费用、销售费用产生的利息。</v>
      </c>
      <c r="E22" s="3199"/>
      <c r="F22" s="56"/>
      <c r="G22" s="1578"/>
      <c r="H22" s="1634" t="s">
        <v>1888</v>
      </c>
      <c r="I22" s="784" t="s">
        <v>675</v>
      </c>
      <c r="J22" s="53">
        <f ca="1">ROUND(J14*M22,0)</f>
        <v>262</v>
      </c>
      <c r="K22" s="3197" t="s">
        <v>1768</v>
      </c>
      <c r="L22" s="784" t="s">
        <v>648</v>
      </c>
      <c r="M22" s="817">
        <f ca="1">INDIRECT("'数据-取费表'!Ak"&amp;$G$1)</f>
        <v>0.01</v>
      </c>
    </row>
    <row r="23" spans="1:33" s="2048" customFormat="1" ht="18" customHeight="1">
      <c r="A23" s="1633" t="s">
        <v>1830</v>
      </c>
      <c r="B23" s="784" t="s">
        <v>2434</v>
      </c>
      <c r="C23" s="53">
        <f ca="1">ROUND(IF('数据-取费表'!B22&lt;=1,(C19+C20)*F24*F23/2,(C19+C20)*(POWER((1+F24),F23/2)-1)),0)</f>
        <v>1201</v>
      </c>
      <c r="D23" s="2534" t="str">
        <f>IF(F23&lt;=1,"(建造成本+管理费用)×利率×(建设周期÷2)","(建造成本+管理费用)×((1+利率)^(建设周期÷2)-1)")</f>
        <v>(建造成本+管理费用)×((1+利率)^(建设周期÷2)-1)</v>
      </c>
      <c r="E23" s="784" t="s">
        <v>1769</v>
      </c>
      <c r="F23" s="640">
        <f>'数据-取费表'!B20</f>
        <v>2.5</v>
      </c>
      <c r="G23" s="1579"/>
      <c r="H23" s="1634" t="s">
        <v>1889</v>
      </c>
      <c r="I23" s="784" t="s">
        <v>678</v>
      </c>
      <c r="J23" s="53">
        <f ca="1">ROUND(J13*M23,0)</f>
        <v>0</v>
      </c>
      <c r="K23" s="3197" t="s">
        <v>679</v>
      </c>
      <c r="L23" s="784" t="s">
        <v>648</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1771</v>
      </c>
      <c r="C24" s="53">
        <f ca="1">ROUND(IF('数据-取费表'!B22&lt;=1,F21*F24*F23/2,F21*(POWER((1+F24),F23/2)-1)),4)</f>
        <v>8.9999999999999998E-4</v>
      </c>
      <c r="D24" s="2534" t="str">
        <f>IF(F23&lt;=1,"销售费用×利率×(建设周期÷2)","销售费用×((1+利率)^(建设周期÷2)-1)")</f>
        <v>销售费用×((1+利率)^(建设周期÷2)-1)</v>
      </c>
      <c r="E24" s="784" t="s">
        <v>681</v>
      </c>
      <c r="F24" s="819">
        <f ca="1">'数据-取费表'!B40</f>
        <v>4.7500000000000001E-2</v>
      </c>
      <c r="G24" s="1579"/>
      <c r="H24" s="2514" t="s">
        <v>1890</v>
      </c>
      <c r="I24" s="2509" t="s">
        <v>665</v>
      </c>
      <c r="J24" s="2507">
        <f ca="1">ROUND(J5*M24,0)</f>
        <v>0</v>
      </c>
      <c r="K24" s="2508" t="s">
        <v>1773</v>
      </c>
      <c r="L24" s="2509" t="s">
        <v>648</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684</v>
      </c>
      <c r="E25" s="3199"/>
      <c r="F25" s="56"/>
      <c r="G25" s="1578"/>
      <c r="H25" s="1813" t="s">
        <v>1775</v>
      </c>
      <c r="I25" s="2961" t="s">
        <v>2817</v>
      </c>
      <c r="J25" s="792">
        <f ca="1">J5-J16</f>
        <v>-2468</v>
      </c>
      <c r="K25" s="2511" t="s">
        <v>1776</v>
      </c>
      <c r="L25" s="2512"/>
      <c r="M25" s="2513"/>
    </row>
    <row r="26" spans="1:33" ht="18" customHeight="1">
      <c r="A26" s="1633" t="s">
        <v>1830</v>
      </c>
      <c r="B26" s="784" t="s">
        <v>2435</v>
      </c>
      <c r="C26" s="53">
        <f ca="1">ROUND((C19+C20)*F26,0)</f>
        <v>3016</v>
      </c>
      <c r="D26" s="812" t="s">
        <v>1777</v>
      </c>
      <c r="E26" s="795" t="s">
        <v>701</v>
      </c>
      <c r="F26" s="794">
        <f ca="1">INDIRECT("'数据-取费表'!q"&amp;$G$1)</f>
        <v>0.15</v>
      </c>
      <c r="G26" s="1578"/>
      <c r="H26" s="2465" t="s">
        <v>1779</v>
      </c>
      <c r="I26" s="2216" t="s">
        <v>2822</v>
      </c>
      <c r="J26" s="783">
        <f ca="1">IF(J5&lt;&gt;0,ROUND(J25*(1-((1+M28)/(1+M26))^M27)/(M26-M28),0),0)</f>
        <v>0</v>
      </c>
      <c r="K26" s="814" t="s">
        <v>703</v>
      </c>
      <c r="L26" s="784" t="s">
        <v>2416</v>
      </c>
      <c r="M26" s="794">
        <f ca="1">INDIRECT("'数据-取费表'!I"&amp;$G$1)</f>
        <v>5.5E-2</v>
      </c>
    </row>
    <row r="27" spans="1:33" ht="18" customHeight="1">
      <c r="A27" s="1633" t="s">
        <v>1831</v>
      </c>
      <c r="B27" s="784" t="s">
        <v>685</v>
      </c>
      <c r="C27" s="53">
        <f ca="1">ROUND(F21*F26,4)</f>
        <v>2.3E-3</v>
      </c>
      <c r="D27" s="812" t="s">
        <v>705</v>
      </c>
      <c r="E27" s="806"/>
      <c r="F27" s="807"/>
      <c r="G27" s="1578"/>
      <c r="H27" s="2466"/>
      <c r="I27" s="787"/>
      <c r="J27" s="788"/>
      <c r="K27" s="821" t="s">
        <v>706</v>
      </c>
      <c r="L27" s="784" t="s">
        <v>707</v>
      </c>
      <c r="M27" s="822">
        <f ca="1">INDIRECT("'数据-取费表'!ag"&amp;$G$1)</f>
        <v>0</v>
      </c>
    </row>
    <row r="28" spans="1:33" s="2048" customFormat="1" ht="18" customHeight="1">
      <c r="A28" s="1635" t="s">
        <v>1840</v>
      </c>
      <c r="B28" s="784" t="s">
        <v>686</v>
      </c>
      <c r="C28" s="53">
        <f>ROUND(F28/(1+'数据-取费表'!C42),4)</f>
        <v>5.33E-2</v>
      </c>
      <c r="D28" s="812" t="s">
        <v>2297</v>
      </c>
      <c r="E28" s="784" t="s">
        <v>648</v>
      </c>
      <c r="F28" s="809">
        <f>'数据-取费表'!B41</f>
        <v>5.6000000000000001E-2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2298</v>
      </c>
      <c r="C29" s="2507">
        <f ca="1">ROUND((C19+C20+C23+C26)/(1-F21-C24-C27-C28),0)</f>
        <v>26199</v>
      </c>
      <c r="D29" s="2508"/>
      <c r="E29" s="2509"/>
      <c r="F29" s="2510"/>
      <c r="G29" s="1579"/>
      <c r="H29" s="823" t="s">
        <v>1786</v>
      </c>
      <c r="I29" s="824" t="s">
        <v>1787</v>
      </c>
      <c r="J29" s="825">
        <f ca="1">ROUND(J26/(1+F40)^F41,0)</f>
        <v>0</v>
      </c>
      <c r="K29" s="826" t="s">
        <v>687</v>
      </c>
      <c r="L29" s="827"/>
      <c r="M29" s="828">
        <f ca="1">INDIRECT("'数据-取费表'!k"&amp;$G$1)</f>
        <v>46377.61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1748</v>
      </c>
      <c r="C30" s="792">
        <f ca="1">ROUND(C31+C36+C37+C38,0)</f>
        <v>866</v>
      </c>
      <c r="D30" s="1805" t="s">
        <v>651</v>
      </c>
      <c r="E30" s="3198"/>
      <c r="F30" s="2454"/>
      <c r="G30" s="2046"/>
      <c r="H30" s="2049"/>
      <c r="I30" s="2050"/>
      <c r="J30" s="2051"/>
      <c r="K30" s="2052"/>
      <c r="L30" s="2053"/>
      <c r="M30" s="2054"/>
    </row>
    <row r="31" spans="1:33" ht="18" customHeight="1">
      <c r="A31" s="1634" t="s">
        <v>1823</v>
      </c>
      <c r="B31" s="784" t="s">
        <v>655</v>
      </c>
      <c r="C31" s="53">
        <f ca="1">ROUND(IF(项目基本情况!B11="自然人",C5*F31,C32+C33+C34),1)</f>
        <v>534.20000000000005</v>
      </c>
      <c r="D31" s="3196" t="s">
        <v>1752</v>
      </c>
      <c r="E31" s="3197"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1754</v>
      </c>
      <c r="C32" s="53">
        <f ca="1">ROUND(C5*F32/1.05,1)</f>
        <v>162.69999999999999</v>
      </c>
      <c r="D32" s="3197" t="s">
        <v>660</v>
      </c>
      <c r="E32" s="784" t="s">
        <v>648</v>
      </c>
      <c r="F32" s="809">
        <f>'数据-取费表'!B41</f>
        <v>5.6000000000000001E-2</v>
      </c>
      <c r="G32" s="2046"/>
      <c r="H32" s="2055"/>
      <c r="I32" s="2056"/>
      <c r="J32" s="2057"/>
      <c r="K32" s="2058"/>
      <c r="L32" s="2059"/>
      <c r="M32" s="2060"/>
    </row>
    <row r="33" spans="1:18" ht="18" customHeight="1">
      <c r="A33" s="1633" t="s">
        <v>1831</v>
      </c>
      <c r="B33" s="784" t="s">
        <v>663</v>
      </c>
      <c r="C33" s="53">
        <f ca="1">IF(D33="按租金收入计税",ROUND(C5*F33,1),IF(D33="按房产原值计税",ROUND(C29*F33*0.7,1),INDIRECT("'数据-取费表'!Aj"&amp;$G$1)))</f>
        <v>366.1</v>
      </c>
      <c r="D33" s="811" t="s">
        <v>3004</v>
      </c>
      <c r="E33" s="784" t="s">
        <v>648</v>
      </c>
      <c r="F33" s="809">
        <f>IF(D33="按租金收入计税",'数据-取费表'!B51,'数据-取费表'!B50)</f>
        <v>0.12</v>
      </c>
      <c r="G33" s="2046"/>
      <c r="H33" s="2061"/>
      <c r="I33" s="2061"/>
      <c r="J33" s="2061"/>
      <c r="K33" s="2062"/>
      <c r="L33" s="2061"/>
      <c r="M33" s="2061"/>
    </row>
    <row r="34" spans="1:18" ht="18" customHeight="1">
      <c r="A34" s="1636" t="s">
        <v>1832</v>
      </c>
      <c r="B34" s="341" t="s">
        <v>1759</v>
      </c>
      <c r="C34" s="54">
        <f ca="1">ROUND(F34*F35/10000,1)</f>
        <v>5.4</v>
      </c>
      <c r="D34" s="814" t="s">
        <v>1760</v>
      </c>
      <c r="E34" s="784" t="s">
        <v>1761</v>
      </c>
      <c r="F34" s="640">
        <f>'数据-取费表'!B52</f>
        <v>6.4</v>
      </c>
      <c r="G34" s="2046"/>
      <c r="H34" s="2049"/>
      <c r="I34" s="835" t="s">
        <v>1812</v>
      </c>
      <c r="J34" s="836"/>
      <c r="K34" s="2064"/>
      <c r="L34" s="2063"/>
      <c r="M34" s="2063"/>
    </row>
    <row r="35" spans="1:18" ht="18" customHeight="1">
      <c r="A35" s="815"/>
      <c r="B35" s="793"/>
      <c r="C35" s="69"/>
      <c r="D35" s="816"/>
      <c r="E35" s="784" t="s">
        <v>1765</v>
      </c>
      <c r="F35" s="785">
        <f ca="1">INDIRECT("'数据-取费表'!r"&amp;$G$1)</f>
        <v>8367.11</v>
      </c>
      <c r="G35" s="2046"/>
      <c r="H35" s="2049"/>
      <c r="I35" s="837" t="s">
        <v>1813</v>
      </c>
      <c r="J35" s="838">
        <f ca="1">ROUND(C13*J36,0)</f>
        <v>2227</v>
      </c>
      <c r="K35" s="2062"/>
      <c r="L35" s="2061"/>
      <c r="M35" s="2061"/>
    </row>
    <row r="36" spans="1:18" ht="18" customHeight="1">
      <c r="A36" s="1634" t="s">
        <v>1888</v>
      </c>
      <c r="B36" s="784" t="s">
        <v>675</v>
      </c>
      <c r="C36" s="53">
        <f ca="1">ROUND(C29*F36,1)</f>
        <v>262</v>
      </c>
      <c r="D36" s="3197" t="s">
        <v>690</v>
      </c>
      <c r="E36" s="784" t="s">
        <v>648</v>
      </c>
      <c r="F36" s="817">
        <f ca="1">INDIRECT("'数据-取费表'!Ak"&amp;$G$1)</f>
        <v>0.01</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39.299999999999997</v>
      </c>
      <c r="D37" s="3197" t="s">
        <v>679</v>
      </c>
      <c r="E37" s="784" t="s">
        <v>648</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30.5</v>
      </c>
      <c r="D38" s="2508" t="s">
        <v>1773</v>
      </c>
      <c r="E38" s="2509" t="s">
        <v>648</v>
      </c>
      <c r="F38" s="2505">
        <f ca="1">INDIRECT("'数据-取费表'!Am"&amp;$G$1)</f>
        <v>0.01</v>
      </c>
      <c r="G38" s="2046"/>
      <c r="H38" s="2061"/>
      <c r="I38" s="843" t="s">
        <v>1816</v>
      </c>
      <c r="J38" s="844"/>
      <c r="K38" s="2067"/>
      <c r="L38" s="2061"/>
      <c r="M38" s="2061"/>
    </row>
    <row r="39" spans="1:18" ht="24.6" customHeight="1" thickTop="1">
      <c r="A39" s="1813" t="s">
        <v>1775</v>
      </c>
      <c r="B39" s="2961" t="s">
        <v>2817</v>
      </c>
      <c r="C39" s="792">
        <f ca="1">C5-C30</f>
        <v>2185</v>
      </c>
      <c r="D39" s="2511" t="s">
        <v>1776</v>
      </c>
      <c r="E39" s="2512"/>
      <c r="F39" s="2513"/>
      <c r="G39" s="2046"/>
      <c r="H39" s="2061"/>
      <c r="I39" s="837" t="s">
        <v>1817</v>
      </c>
      <c r="J39" s="845">
        <f ca="1">ROUND(J35/C39,3)</f>
        <v>1.0189999999999999</v>
      </c>
      <c r="K39" s="2067"/>
      <c r="L39" s="2061"/>
      <c r="M39" s="2061"/>
    </row>
    <row r="40" spans="1:18" ht="18" customHeight="1">
      <c r="A40" s="781" t="s">
        <v>1779</v>
      </c>
      <c r="B40" s="2216" t="s">
        <v>2299</v>
      </c>
      <c r="C40" s="783">
        <f ca="1">ROUND(C39*(1-((1+F42)/(1+F40))^F41)/(F40-F42),0)</f>
        <v>49879</v>
      </c>
      <c r="D40" s="814" t="s">
        <v>703</v>
      </c>
      <c r="E40" s="784" t="s">
        <v>2416</v>
      </c>
      <c r="F40" s="794">
        <f ca="1">INDIRECT("'数据-取费表'!I"&amp;$G$1)</f>
        <v>5.5E-2</v>
      </c>
      <c r="G40" s="2046"/>
      <c r="H40" s="2046"/>
      <c r="I40" s="837" t="s">
        <v>1818</v>
      </c>
      <c r="J40" s="845">
        <f ca="1">1-J39</f>
        <v>-1.8999999999999906E-2</v>
      </c>
      <c r="K40" s="2067"/>
      <c r="L40" s="2046"/>
      <c r="M40" s="2046"/>
    </row>
    <row r="41" spans="1:18" ht="18" customHeight="1">
      <c r="A41" s="786"/>
      <c r="B41" s="787"/>
      <c r="C41" s="788"/>
      <c r="D41" s="821" t="s">
        <v>1807</v>
      </c>
      <c r="E41" s="784" t="s">
        <v>707</v>
      </c>
      <c r="F41" s="822">
        <f ca="1">IF(INDIRECT("'数据-取费表'!af"&amp;$G$1)=0,INDIRECT("'数据-取费表'!ae"&amp;$G$1),INDIRECT("'数据-取费表'!af"&amp;$G$1))</f>
        <v>35.26</v>
      </c>
      <c r="G41" s="2046"/>
      <c r="H41" s="1972"/>
      <c r="I41" s="843" t="s">
        <v>1819</v>
      </c>
      <c r="J41" s="846"/>
      <c r="K41" s="2066"/>
      <c r="L41" s="1972"/>
      <c r="M41" s="1972"/>
    </row>
    <row r="42" spans="1:18" ht="18" customHeight="1">
      <c r="A42" s="790"/>
      <c r="B42" s="791"/>
      <c r="C42" s="792"/>
      <c r="D42" s="816"/>
      <c r="E42" s="784" t="s">
        <v>1785</v>
      </c>
      <c r="F42" s="794">
        <f ca="1">INDIRECT("'数据-取费表'!v"&amp;$G$1)</f>
        <v>0.03</v>
      </c>
      <c r="G42" s="2046"/>
      <c r="H42" s="1972"/>
      <c r="I42" s="847" t="s">
        <v>1820</v>
      </c>
      <c r="J42" s="845">
        <f ca="1">ROUND(C13/C40,3)</f>
        <v>0.52500000000000002</v>
      </c>
      <c r="K42" s="2066"/>
      <c r="L42" s="1972"/>
      <c r="M42" s="1972"/>
    </row>
    <row r="43" spans="1:18" ht="18" customHeight="1" thickBot="1">
      <c r="A43" s="823" t="s">
        <v>1786</v>
      </c>
      <c r="B43" s="824" t="s">
        <v>1809</v>
      </c>
      <c r="C43" s="825">
        <f ca="1">ROUND(C40*10000/F43,0)</f>
        <v>10755</v>
      </c>
      <c r="D43" s="826" t="s">
        <v>1810</v>
      </c>
      <c r="E43" s="827" t="s">
        <v>1811</v>
      </c>
      <c r="F43" s="828">
        <f ca="1">INDIRECT("'数据-取费表'!k"&amp;$G$1)</f>
        <v>46377.61</v>
      </c>
      <c r="G43" s="2046"/>
      <c r="H43" s="1972"/>
      <c r="I43" s="847" t="s">
        <v>1821</v>
      </c>
      <c r="J43" s="848">
        <f ca="1">1-J42</f>
        <v>0.47499999999999998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-54616</v>
      </c>
      <c r="D46" s="2069"/>
      <c r="E46" s="2069"/>
      <c r="F46" s="2069"/>
      <c r="I46" s="2341" t="s">
        <v>2340</v>
      </c>
      <c r="J46" s="2342"/>
      <c r="K46" s="2343"/>
      <c r="L46" s="3108">
        <f>IF(OR(M47="住宅",D1="土地（套用方法）"),0,IF(L48&gt;J51,L60,J60))</f>
        <v>0</v>
      </c>
      <c r="O46" s="2357" t="s">
        <v>2407</v>
      </c>
      <c r="P46" s="1578"/>
      <c r="Q46" s="1589"/>
      <c r="R46" s="1578"/>
    </row>
    <row r="47" spans="1:18" s="2043" customFormat="1" ht="18" customHeight="1" thickBot="1">
      <c r="A47" s="2335">
        <v>1</v>
      </c>
      <c r="B47" s="2336" t="s">
        <v>634</v>
      </c>
      <c r="C47" s="2537">
        <f ca="1">C48+C52+C54</f>
        <v>0</v>
      </c>
      <c r="D47" s="2069"/>
      <c r="E47" s="2069"/>
      <c r="F47" s="2069"/>
      <c r="I47" s="3098" t="s">
        <v>2341</v>
      </c>
      <c r="J47" s="2344" t="s">
        <v>3005</v>
      </c>
      <c r="K47" s="3105" t="s">
        <v>2346</v>
      </c>
      <c r="L47" s="3109">
        <f ca="1">INDIRECT("'数据-取费表'!d"&amp;$G$1)</f>
        <v>40</v>
      </c>
      <c r="M47" s="1589" t="str">
        <f>IF(ISNUMBER(FIND("住宅",C1)),"住宅","非住宅")</f>
        <v>非住宅</v>
      </c>
      <c r="O47" s="2358" t="s">
        <v>2372</v>
      </c>
      <c r="P47" s="2359" t="s">
        <v>2373</v>
      </c>
      <c r="Q47" s="2360" t="s">
        <v>2374</v>
      </c>
      <c r="R47" s="2359" t="s">
        <v>2375</v>
      </c>
    </row>
    <row r="48" spans="1:18" s="2043" customFormat="1" ht="18" customHeight="1" thickBot="1">
      <c r="A48" s="2605" t="s">
        <v>1869</v>
      </c>
      <c r="B48" s="2606" t="s">
        <v>2533</v>
      </c>
      <c r="C48" s="2337">
        <f ca="1">ROUND(F48*F50*F49*(1-F51)/10000,0)</f>
        <v>0</v>
      </c>
      <c r="D48" s="2338" t="s">
        <v>635</v>
      </c>
      <c r="E48" s="2339" t="s">
        <v>2294</v>
      </c>
      <c r="F48" s="2340"/>
      <c r="G48" s="2074"/>
      <c r="I48" s="3077" t="s">
        <v>2342</v>
      </c>
      <c r="J48" s="2345" t="s">
        <v>2347</v>
      </c>
      <c r="K48" s="3106" t="s">
        <v>2348</v>
      </c>
      <c r="L48" s="1892">
        <f ca="1">INDIRECT("'数据-取费表'!f"&amp;$G$1)</f>
        <v>37.76</v>
      </c>
      <c r="O48" s="2361" t="s">
        <v>2376</v>
      </c>
      <c r="P48" s="2362" t="s">
        <v>2402</v>
      </c>
      <c r="Q48" s="2363">
        <f ca="1">C40+J29</f>
        <v>49879</v>
      </c>
      <c r="R48" s="2362" t="s">
        <v>2377</v>
      </c>
    </row>
    <row r="49" spans="1:18" s="2043" customFormat="1" ht="18" customHeight="1" thickBot="1">
      <c r="A49" s="786"/>
      <c r="B49" s="787"/>
      <c r="C49" s="788"/>
      <c r="D49" s="789"/>
      <c r="E49" s="784" t="s">
        <v>637</v>
      </c>
      <c r="F49" s="785">
        <f ca="1">F7</f>
        <v>46377.61</v>
      </c>
      <c r="G49" s="2074"/>
      <c r="H49" s="2077"/>
      <c r="I49" s="3077" t="s">
        <v>2343</v>
      </c>
      <c r="J49" s="2346">
        <v>2022</v>
      </c>
      <c r="K49" s="3107" t="s">
        <v>2349</v>
      </c>
      <c r="L49" s="2347"/>
      <c r="O49" s="2361" t="s">
        <v>2378</v>
      </c>
      <c r="P49" s="2362" t="s">
        <v>2403</v>
      </c>
      <c r="Q49" s="2363" t="str">
        <f ca="1">J60</f>
        <v>0</v>
      </c>
      <c r="R49" s="2362" t="s">
        <v>2379</v>
      </c>
    </row>
    <row r="50" spans="1:18" s="2043" customFormat="1" ht="18" customHeight="1" thickBot="1">
      <c r="A50" s="786"/>
      <c r="B50" s="787"/>
      <c r="C50" s="788"/>
      <c r="D50" s="789"/>
      <c r="E50" s="784" t="s">
        <v>638</v>
      </c>
      <c r="F50" s="785">
        <f ca="1">F8</f>
        <v>365</v>
      </c>
      <c r="G50" s="2079"/>
      <c r="H50" s="2077"/>
      <c r="I50" s="3077" t="s">
        <v>2344</v>
      </c>
      <c r="J50" s="3102">
        <f>SUMPRODUCT((I63:I65=J47)*(J62:L62=J48)*(J63:L65))</f>
        <v>60</v>
      </c>
      <c r="K50" s="3107" t="s">
        <v>2350</v>
      </c>
      <c r="L50" s="2347"/>
      <c r="O50" s="2364" t="s">
        <v>2380</v>
      </c>
      <c r="P50" s="2362" t="s">
        <v>2404</v>
      </c>
      <c r="Q50" s="2363">
        <f ca="1">C29</f>
        <v>26199</v>
      </c>
      <c r="R50" s="2362" t="s">
        <v>2377</v>
      </c>
    </row>
    <row r="51" spans="1:18" s="2043" customFormat="1" ht="18" customHeight="1" thickBot="1">
      <c r="A51" s="786"/>
      <c r="B51" s="787"/>
      <c r="C51" s="788"/>
      <c r="D51" s="789"/>
      <c r="E51" s="784" t="s">
        <v>639</v>
      </c>
      <c r="F51" s="2334"/>
      <c r="H51" s="2077"/>
      <c r="I51" s="3099" t="s">
        <v>2345</v>
      </c>
      <c r="J51" s="3103">
        <f>IF(J49="",J50,J49+J50-YEAR('数据-取费表'!B2))</f>
        <v>63</v>
      </c>
      <c r="K51" s="3077" t="s">
        <v>2351</v>
      </c>
      <c r="L51" s="3110">
        <f ca="1">ROUND(-PV(INDIRECT("'数据-取费表'!h"&amp;$G$1),L48,(C39-C13*J36),0),0)</f>
        <v>-755</v>
      </c>
      <c r="O51" s="2364" t="s">
        <v>2381</v>
      </c>
      <c r="P51" s="2362" t="s">
        <v>2382</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2967</v>
      </c>
      <c r="E52" s="2461" t="s">
        <v>2459</v>
      </c>
      <c r="F52" s="2584"/>
      <c r="I52" s="3100" t="s">
        <v>2418</v>
      </c>
      <c r="J52" s="2348">
        <v>0.09</v>
      </c>
      <c r="K52" s="3100" t="s">
        <v>2417</v>
      </c>
      <c r="L52" s="2348"/>
      <c r="O52" s="2364" t="s">
        <v>2383</v>
      </c>
      <c r="P52" s="2362" t="s">
        <v>2384</v>
      </c>
      <c r="Q52" s="2365">
        <f>J52</f>
        <v>0.09</v>
      </c>
      <c r="R52" s="2366"/>
    </row>
    <row r="53" spans="1:18" s="2043" customFormat="1" ht="39.75" customHeight="1" thickBot="1">
      <c r="A53" s="786"/>
      <c r="B53" s="2458" t="s">
        <v>2568</v>
      </c>
      <c r="C53" s="2462"/>
      <c r="D53" s="2464"/>
      <c r="E53" s="2461"/>
      <c r="F53" s="800"/>
      <c r="I53" s="3101" t="s">
        <v>2971</v>
      </c>
      <c r="J53" s="3104">
        <f ca="1">IF(M47="住宅",IF(D1="——",MAX(J51,L48),MAX(J51,L48-'数据-取费表'!B20)),IF(D1="——",MIN(J51,L48),MIN(J51,L48-'数据-取费表'!B20)))</f>
        <v>35.26</v>
      </c>
      <c r="K53" s="3467" t="s">
        <v>2959</v>
      </c>
      <c r="L53" s="3468"/>
      <c r="O53" s="2364" t="s">
        <v>2385</v>
      </c>
      <c r="P53" s="2362" t="s">
        <v>2386</v>
      </c>
      <c r="Q53" s="2363">
        <f ca="1">J53</f>
        <v>35.26</v>
      </c>
      <c r="R53" s="2362" t="s">
        <v>2387</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49879</v>
      </c>
      <c r="R54" s="2366" t="s">
        <v>2389</v>
      </c>
    </row>
    <row r="55" spans="1:18" s="2043" customFormat="1" ht="18" customHeight="1" thickTop="1" thickBot="1">
      <c r="A55" s="797">
        <v>2</v>
      </c>
      <c r="B55" s="798" t="s">
        <v>643</v>
      </c>
      <c r="C55" s="799">
        <f ca="1">C13</f>
        <v>26199</v>
      </c>
      <c r="D55" s="795"/>
      <c r="E55" s="795"/>
      <c r="F55" s="800"/>
      <c r="I55" s="3113" t="s">
        <v>2352</v>
      </c>
      <c r="J55" s="3052" t="e">
        <f ca="1">ROUND(IF(J47="钢混",J57/J50,1-(1-2%)*(J50-J57)/J50),3)</f>
        <v>#VALUE!</v>
      </c>
      <c r="K55" s="3114" t="s">
        <v>2353</v>
      </c>
      <c r="L55" s="2349"/>
      <c r="O55" s="2367" t="s">
        <v>2408</v>
      </c>
      <c r="P55" s="1578"/>
      <c r="Q55" s="1589"/>
      <c r="R55" s="1578"/>
    </row>
    <row r="56" spans="1:18" s="2043" customFormat="1" ht="42.75" customHeight="1" thickBot="1">
      <c r="A56" s="1635"/>
      <c r="B56" s="2215" t="s">
        <v>2298</v>
      </c>
      <c r="C56" s="53">
        <f ca="1">C29</f>
        <v>26199</v>
      </c>
      <c r="D56" s="3197"/>
      <c r="E56" s="784"/>
      <c r="F56" s="809"/>
      <c r="I56" s="3115" t="s">
        <v>2354</v>
      </c>
      <c r="J56" s="3125" t="s">
        <v>1677</v>
      </c>
      <c r="K56" s="3077" t="s">
        <v>2359</v>
      </c>
      <c r="L56" s="1892" t="str">
        <f ca="1">IF(L48&lt;J51,"——",L48-J51)</f>
        <v>——</v>
      </c>
      <c r="O56" s="2358" t="s">
        <v>2372</v>
      </c>
      <c r="P56" s="2359" t="s">
        <v>2373</v>
      </c>
      <c r="Q56" s="2360" t="s">
        <v>2374</v>
      </c>
      <c r="R56" s="2359" t="s">
        <v>2375</v>
      </c>
    </row>
    <row r="57" spans="1:18" s="2043" customFormat="1" ht="28.5" customHeight="1" thickBot="1">
      <c r="A57" s="797" t="s">
        <v>1747</v>
      </c>
      <c r="B57" s="798" t="s">
        <v>650</v>
      </c>
      <c r="C57" s="799">
        <f ca="1">ROUND(C58+C63+C64+C65,0)</f>
        <v>307</v>
      </c>
      <c r="D57" s="26" t="s">
        <v>651</v>
      </c>
      <c r="E57" s="3199"/>
      <c r="F57" s="56"/>
      <c r="I57" s="3116" t="s">
        <v>2355</v>
      </c>
      <c r="J57" s="3117" t="str">
        <f ca="1">IF(OR(M47="住宅",J51&lt;L48,J56="是"),"——",J51-L48)</f>
        <v>——</v>
      </c>
      <c r="K57" s="3077" t="s">
        <v>2360</v>
      </c>
      <c r="L57" s="1892" t="str">
        <f ca="1">IF(L48&lt;J51,"——",IF(L55="比较法",L49,IF(L55="基准地价",L50,L51)))</f>
        <v>——</v>
      </c>
      <c r="O57" s="2361" t="s">
        <v>2376</v>
      </c>
      <c r="P57" s="2362" t="s">
        <v>2402</v>
      </c>
      <c r="Q57" s="2363">
        <f ca="1">C40+J29</f>
        <v>49879</v>
      </c>
      <c r="R57" s="2362" t="s">
        <v>2377</v>
      </c>
    </row>
    <row r="58" spans="1:18" s="2043" customFormat="1" ht="28.5" customHeight="1" thickBot="1">
      <c r="A58" s="1634" t="s">
        <v>1823</v>
      </c>
      <c r="B58" s="784" t="s">
        <v>655</v>
      </c>
      <c r="C58" s="53">
        <f ca="1">ROUND(IF(项目基本情况!B11="自然人",C47*F58,C59+C60+C61),1)</f>
        <v>5.4</v>
      </c>
      <c r="D58" s="3196" t="s">
        <v>656</v>
      </c>
      <c r="E58" s="3197" t="s">
        <v>689</v>
      </c>
      <c r="F58" s="810" t="str">
        <f ca="1">IF(项目基本情况!B11="企业","",IF(INDIRECT("'数据-取费表'!c"&amp;$G$1)="住宅",5%,IF(F48*F49*F50/12/(1+'数据-取费表'!C42)&gt;20000,12%,7%)))</f>
        <v/>
      </c>
      <c r="I58" s="3116" t="s">
        <v>2356</v>
      </c>
      <c r="J58" s="3053" t="e">
        <f ca="1">IF(J55&lt;0.4,0.4,J55)</f>
        <v>#VALUE!</v>
      </c>
      <c r="K58" s="3077" t="s">
        <v>2361</v>
      </c>
      <c r="L58" s="1892" t="e">
        <f ca="1">ROUND(POWER(1+L52,L47-L48)*(POWER(1+L52,L48)-1)/(POWER(1+L52,L47)-1),4)</f>
        <v>#DIV/0!</v>
      </c>
      <c r="O58" s="2361" t="s">
        <v>2378</v>
      </c>
      <c r="P58" s="2362" t="s">
        <v>2409</v>
      </c>
      <c r="Q58" s="2363">
        <f ca="1">L60</f>
        <v>0</v>
      </c>
      <c r="R58" s="2366" t="s">
        <v>2411</v>
      </c>
    </row>
    <row r="59" spans="1:18" s="2043" customFormat="1" ht="28.5" customHeight="1" thickBot="1">
      <c r="A59" s="1633" t="s">
        <v>1830</v>
      </c>
      <c r="B59" s="784" t="s">
        <v>659</v>
      </c>
      <c r="C59" s="53">
        <f ca="1">ROUND(C47*F59/1.05,1)</f>
        <v>0</v>
      </c>
      <c r="D59" s="3197" t="s">
        <v>660</v>
      </c>
      <c r="E59" s="784" t="s">
        <v>648</v>
      </c>
      <c r="F59" s="809">
        <f t="shared" ref="F59:F65" si="0">F32</f>
        <v>5.6000000000000001E-2</v>
      </c>
      <c r="I59" s="3116" t="s">
        <v>2357</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3" t="s">
        <v>1831</v>
      </c>
      <c r="B60" s="784" t="s">
        <v>663</v>
      </c>
      <c r="C60" s="53">
        <f ca="1">IF(D60="按租金收入计税",ROUND(C47*F60,1),IF(D60="按房产原值计税",ROUND(C56*F60*0.7,1),INDIRECT("'数据-取费表'!Aj"&amp;$G$1)))</f>
        <v>0</v>
      </c>
      <c r="D60" s="3197" t="str">
        <f>D33</f>
        <v>按租金收入计税</v>
      </c>
      <c r="E60" s="784" t="s">
        <v>648</v>
      </c>
      <c r="F60" s="809">
        <f t="shared" si="0"/>
        <v>0.12</v>
      </c>
      <c r="I60" s="3118" t="s">
        <v>2358</v>
      </c>
      <c r="J60" s="3119" t="str">
        <f ca="1">IF(OR(M47="住宅",J51&lt;L48,J56="是"),"0",ROUND(J59/(1+J52)^J53,0))</f>
        <v>0</v>
      </c>
      <c r="K60" s="3120" t="s">
        <v>2363</v>
      </c>
      <c r="L60" s="3119">
        <f ca="1">IF(OR(M47="住宅",L48&lt;J51),0,ROUND(L57*(L58/L59-1),0))</f>
        <v>0</v>
      </c>
      <c r="O60" s="2364" t="s">
        <v>2381</v>
      </c>
      <c r="P60" s="2362" t="s">
        <v>2390</v>
      </c>
      <c r="Q60" s="2365">
        <f>L52</f>
        <v>0</v>
      </c>
      <c r="R60" s="2366"/>
    </row>
    <row r="61" spans="1:18" s="2043" customFormat="1" ht="18" customHeight="1" thickBot="1">
      <c r="A61" s="1636" t="s">
        <v>1832</v>
      </c>
      <c r="B61" s="341" t="s">
        <v>667</v>
      </c>
      <c r="C61" s="54">
        <f ca="1">ROUND(F61*F62/10000,1)</f>
        <v>5.4</v>
      </c>
      <c r="D61" s="814" t="s">
        <v>668</v>
      </c>
      <c r="E61" s="784" t="s">
        <v>669</v>
      </c>
      <c r="F61" s="640">
        <f t="shared" si="0"/>
        <v>6.4</v>
      </c>
      <c r="K61" s="2070"/>
      <c r="O61" s="2364" t="s">
        <v>2383</v>
      </c>
      <c r="P61" s="2362" t="s">
        <v>2391</v>
      </c>
      <c r="Q61" s="2363" t="e">
        <f ca="1">L58</f>
        <v>#DIV/0!</v>
      </c>
      <c r="R61" s="2366" t="s">
        <v>2392</v>
      </c>
    </row>
    <row r="62" spans="1:18" s="2043" customFormat="1" ht="15.75" thickBot="1">
      <c r="A62" s="815"/>
      <c r="B62" s="793"/>
      <c r="C62" s="69"/>
      <c r="D62" s="816"/>
      <c r="E62" s="784" t="s">
        <v>673</v>
      </c>
      <c r="F62" s="785">
        <f t="shared" ca="1" si="0"/>
        <v>8367.11</v>
      </c>
      <c r="I62" s="3121" t="s">
        <v>2364</v>
      </c>
      <c r="J62" s="3122" t="s">
        <v>2365</v>
      </c>
      <c r="K62" s="3122" t="s">
        <v>2366</v>
      </c>
      <c r="L62" s="3122" t="s">
        <v>2347</v>
      </c>
      <c r="M62" s="3123" t="s">
        <v>2936</v>
      </c>
      <c r="O62" s="2364" t="s">
        <v>2385</v>
      </c>
      <c r="P62" s="2362" t="str">
        <f>K59</f>
        <v>建设期及建筑物耐用年限下的土地年期修正系数Kn</v>
      </c>
      <c r="Q62" s="2363" t="e">
        <f ca="1">L59</f>
        <v>#DIV/0!</v>
      </c>
      <c r="R62" s="2366" t="s">
        <v>2394</v>
      </c>
    </row>
    <row r="63" spans="1:18" s="2043" customFormat="1" ht="15.75" thickBot="1">
      <c r="A63" s="1634" t="s">
        <v>1888</v>
      </c>
      <c r="B63" s="784" t="s">
        <v>675</v>
      </c>
      <c r="C63" s="53">
        <f ca="1">ROUND(C56*F63,1)</f>
        <v>262</v>
      </c>
      <c r="D63" s="3197" t="s">
        <v>690</v>
      </c>
      <c r="E63" s="784" t="s">
        <v>648</v>
      </c>
      <c r="F63" s="817">
        <f t="shared" ca="1" si="0"/>
        <v>0.01</v>
      </c>
      <c r="I63" s="3121" t="s">
        <v>2367</v>
      </c>
      <c r="J63" s="3122">
        <v>70</v>
      </c>
      <c r="K63" s="3122">
        <v>50</v>
      </c>
      <c r="L63" s="3122">
        <v>80</v>
      </c>
      <c r="M63" s="3124">
        <v>0.02</v>
      </c>
      <c r="O63" s="2361" t="s">
        <v>2388</v>
      </c>
      <c r="P63" s="2362" t="s">
        <v>2405</v>
      </c>
      <c r="Q63" s="2363">
        <f ca="1">Q57+Q58</f>
        <v>49879</v>
      </c>
      <c r="R63" s="2366" t="s">
        <v>2389</v>
      </c>
    </row>
    <row r="64" spans="1:18" s="2043" customFormat="1" ht="16.5" thickBot="1">
      <c r="A64" s="1634" t="s">
        <v>1889</v>
      </c>
      <c r="B64" s="784" t="s">
        <v>678</v>
      </c>
      <c r="C64" s="53">
        <f ca="1">ROUND(C55*F64,1)</f>
        <v>39.299999999999997</v>
      </c>
      <c r="D64" s="3197" t="s">
        <v>679</v>
      </c>
      <c r="E64" s="784" t="s">
        <v>648</v>
      </c>
      <c r="F64" s="818">
        <f t="shared" ca="1" si="0"/>
        <v>1.5E-3</v>
      </c>
      <c r="I64" s="3121" t="s">
        <v>2368</v>
      </c>
      <c r="J64" s="3122">
        <v>50</v>
      </c>
      <c r="K64" s="3122">
        <v>35</v>
      </c>
      <c r="L64" s="3122">
        <v>60</v>
      </c>
      <c r="M64" s="846">
        <v>0</v>
      </c>
      <c r="O64" s="2367" t="s">
        <v>2412</v>
      </c>
      <c r="P64" s="1578"/>
      <c r="Q64" s="1589"/>
      <c r="R64" s="1578"/>
    </row>
    <row r="65" spans="1:18" s="2043" customFormat="1" ht="15.75" thickBot="1">
      <c r="A65" s="1634" t="s">
        <v>1890</v>
      </c>
      <c r="B65" s="784" t="s">
        <v>665</v>
      </c>
      <c r="C65" s="53">
        <f ca="1">ROUND(C47*F65,1)</f>
        <v>0</v>
      </c>
      <c r="D65" s="3197" t="s">
        <v>682</v>
      </c>
      <c r="E65" s="784" t="s">
        <v>648</v>
      </c>
      <c r="F65" s="794">
        <f t="shared" ca="1" si="0"/>
        <v>0.01</v>
      </c>
      <c r="I65" s="3121" t="s">
        <v>2369</v>
      </c>
      <c r="J65" s="3122">
        <v>40</v>
      </c>
      <c r="K65" s="3122">
        <v>30</v>
      </c>
      <c r="L65" s="3122">
        <v>50</v>
      </c>
      <c r="M65" s="3124">
        <v>0.02</v>
      </c>
      <c r="O65" s="2358" t="s">
        <v>2372</v>
      </c>
      <c r="P65" s="2359" t="s">
        <v>2373</v>
      </c>
      <c r="Q65" s="2360" t="s">
        <v>2374</v>
      </c>
      <c r="R65" s="2359" t="s">
        <v>2375</v>
      </c>
    </row>
    <row r="66" spans="1:18" s="2043" customFormat="1" ht="24.75" thickBot="1">
      <c r="A66" s="797" t="s">
        <v>1775</v>
      </c>
      <c r="B66" s="2962" t="s">
        <v>2817</v>
      </c>
      <c r="C66" s="799">
        <f ca="1">C47-C57</f>
        <v>-307</v>
      </c>
      <c r="D66" s="3196" t="s">
        <v>699</v>
      </c>
      <c r="E66" s="3194"/>
      <c r="F66" s="820"/>
      <c r="K66" s="2070"/>
      <c r="O66" s="2361" t="s">
        <v>2376</v>
      </c>
      <c r="P66" s="2362" t="s">
        <v>2402</v>
      </c>
      <c r="Q66" s="2363">
        <f ca="1">C40+J29</f>
        <v>49879</v>
      </c>
      <c r="R66" s="2362" t="s">
        <v>2377</v>
      </c>
    </row>
    <row r="67" spans="1:18" s="2043" customFormat="1" ht="20.25" thickBot="1">
      <c r="A67" s="781" t="s">
        <v>1779</v>
      </c>
      <c r="B67" s="2216" t="s">
        <v>2299</v>
      </c>
      <c r="C67" s="783">
        <f ca="1">ROUND(C66*(1-((1+F69)/(1+F67))^F68)/(F67-F69),0)</f>
        <v>-4737</v>
      </c>
      <c r="D67" s="814" t="s">
        <v>703</v>
      </c>
      <c r="E67" s="784" t="s">
        <v>704</v>
      </c>
      <c r="F67" s="794">
        <f ca="1">F40</f>
        <v>5.5E-2</v>
      </c>
      <c r="K67" s="2070"/>
      <c r="O67" s="2361" t="s">
        <v>2378</v>
      </c>
      <c r="P67" s="2362" t="s">
        <v>2409</v>
      </c>
      <c r="Q67" s="2363">
        <f ca="1">L60</f>
        <v>0</v>
      </c>
      <c r="R67" s="2366" t="s">
        <v>2411</v>
      </c>
    </row>
    <row r="68" spans="1:18" ht="21.75" thickBot="1">
      <c r="A68" s="786"/>
      <c r="B68" s="787"/>
      <c r="C68" s="788"/>
      <c r="D68" s="821" t="s">
        <v>1807</v>
      </c>
      <c r="E68" s="784" t="s">
        <v>707</v>
      </c>
      <c r="F68" s="822">
        <f ca="1">F41</f>
        <v>35.26</v>
      </c>
      <c r="O68" s="2364" t="s">
        <v>2380</v>
      </c>
      <c r="P68" s="2362" t="s">
        <v>2410</v>
      </c>
      <c r="Q68" s="2368">
        <f ca="1">L51</f>
        <v>-755</v>
      </c>
      <c r="R68" s="2369" t="s">
        <v>2413</v>
      </c>
    </row>
    <row r="69" spans="1:18" ht="20.25" thickBot="1">
      <c r="A69" s="790"/>
      <c r="B69" s="791"/>
      <c r="C69" s="792"/>
      <c r="D69" s="816"/>
      <c r="E69" s="784" t="s">
        <v>709</v>
      </c>
      <c r="F69" s="2334"/>
      <c r="O69" s="2364" t="s">
        <v>2381</v>
      </c>
      <c r="P69" s="2370" t="s">
        <v>2395</v>
      </c>
      <c r="Q69" s="2363">
        <f ca="1">ROUND(Q70-Q71*Q72,0)</f>
        <v>-42</v>
      </c>
      <c r="R69" s="2366"/>
    </row>
    <row r="70" spans="1:18" ht="15.75" thickBot="1">
      <c r="A70" s="823" t="s">
        <v>1786</v>
      </c>
      <c r="B70" s="824" t="s">
        <v>1809</v>
      </c>
      <c r="C70" s="825">
        <f ca="1">ROUND(C67*10000/F70,0)</f>
        <v>-1021</v>
      </c>
      <c r="D70" s="826" t="s">
        <v>1810</v>
      </c>
      <c r="E70" s="827" t="s">
        <v>1811</v>
      </c>
      <c r="F70" s="828">
        <f ca="1">F43</f>
        <v>46377.61</v>
      </c>
      <c r="O70" s="2364" t="s">
        <v>2396</v>
      </c>
      <c r="P70" s="2370" t="s">
        <v>2397</v>
      </c>
      <c r="Q70" s="2363">
        <f ca="1">C39</f>
        <v>2185</v>
      </c>
      <c r="R70" s="2362" t="s">
        <v>2377</v>
      </c>
    </row>
    <row r="71" spans="1:18" ht="15.75" thickBot="1">
      <c r="O71" s="2364" t="s">
        <v>2398</v>
      </c>
      <c r="P71" s="2370" t="s">
        <v>2399</v>
      </c>
      <c r="Q71" s="2363">
        <f ca="1">C13</f>
        <v>26199</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49879</v>
      </c>
      <c r="R76" s="2366"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2466</v>
      </c>
      <c r="B1" s="3470"/>
      <c r="C1" s="3471"/>
      <c r="D1" s="3472">
        <f>SUM(I10,I15,I20,I21,I23)</f>
        <v>0</v>
      </c>
      <c r="E1" s="3472"/>
      <c r="F1" s="3472"/>
      <c r="G1" s="3472"/>
      <c r="H1" s="3472"/>
      <c r="I1" s="3473"/>
    </row>
    <row r="2" spans="1:9">
      <c r="A2" s="3474" t="s">
        <v>2467</v>
      </c>
      <c r="B2" s="3475" t="s">
        <v>2468</v>
      </c>
      <c r="C2" s="3475"/>
      <c r="D2" s="2470" t="s">
        <v>2469</v>
      </c>
      <c r="E2" s="2470" t="s">
        <v>2470</v>
      </c>
      <c r="F2" s="2470" t="s">
        <v>2471</v>
      </c>
      <c r="G2" s="2470" t="s">
        <v>2472</v>
      </c>
      <c r="H2" s="2470" t="s">
        <v>2473</v>
      </c>
      <c r="I2" s="2471" t="s">
        <v>2474</v>
      </c>
    </row>
    <row r="3" spans="1:9">
      <c r="A3" s="3474"/>
      <c r="B3" s="3475" t="s">
        <v>2475</v>
      </c>
      <c r="C3" s="3475"/>
      <c r="D3" s="2472"/>
      <c r="E3" s="2470"/>
      <c r="F3" s="2473"/>
      <c r="G3" s="2473"/>
      <c r="H3" s="2474"/>
      <c r="I3" s="2475">
        <f>ROUND(D3*E3*F3*G3*H3/10000,0)</f>
        <v>0</v>
      </c>
    </row>
    <row r="4" spans="1:9">
      <c r="A4" s="3474"/>
      <c r="B4" s="3475" t="s">
        <v>2476</v>
      </c>
      <c r="C4" s="3475"/>
      <c r="D4" s="2472"/>
      <c r="E4" s="2470"/>
      <c r="F4" s="2473"/>
      <c r="G4" s="2473"/>
      <c r="H4" s="2474"/>
      <c r="I4" s="2475">
        <f t="shared" ref="I4:I9" si="0">ROUND(D4*E4*F4*G4*H4/10000,0)</f>
        <v>0</v>
      </c>
    </row>
    <row r="5" spans="1:9">
      <c r="A5" s="3474"/>
      <c r="B5" s="3475" t="s">
        <v>2477</v>
      </c>
      <c r="C5" s="3475"/>
      <c r="D5" s="2472"/>
      <c r="E5" s="2470"/>
      <c r="F5" s="2473"/>
      <c r="G5" s="2473"/>
      <c r="H5" s="2474"/>
      <c r="I5" s="2475">
        <f t="shared" si="0"/>
        <v>0</v>
      </c>
    </row>
    <row r="6" spans="1:9">
      <c r="A6" s="3474"/>
      <c r="B6" s="3475" t="s">
        <v>2478</v>
      </c>
      <c r="C6" s="3475"/>
      <c r="D6" s="2472"/>
      <c r="E6" s="2470"/>
      <c r="F6" s="2473"/>
      <c r="G6" s="2473"/>
      <c r="H6" s="2474"/>
      <c r="I6" s="2475">
        <f t="shared" si="0"/>
        <v>0</v>
      </c>
    </row>
    <row r="7" spans="1:9">
      <c r="A7" s="3474"/>
      <c r="B7" s="3475" t="s">
        <v>2479</v>
      </c>
      <c r="C7" s="3475"/>
      <c r="D7" s="2472"/>
      <c r="E7" s="2470"/>
      <c r="F7" s="2473"/>
      <c r="G7" s="2473"/>
      <c r="H7" s="2474"/>
      <c r="I7" s="2475">
        <f t="shared" si="0"/>
        <v>0</v>
      </c>
    </row>
    <row r="8" spans="1:9">
      <c r="A8" s="3474"/>
      <c r="B8" s="3475" t="s">
        <v>2480</v>
      </c>
      <c r="C8" s="3475"/>
      <c r="D8" s="2472"/>
      <c r="E8" s="2470"/>
      <c r="F8" s="2473"/>
      <c r="G8" s="2473"/>
      <c r="H8" s="2474"/>
      <c r="I8" s="2475">
        <f t="shared" si="0"/>
        <v>0</v>
      </c>
    </row>
    <row r="9" spans="1:9">
      <c r="A9" s="3474"/>
      <c r="B9" s="3475" t="s">
        <v>2481</v>
      </c>
      <c r="C9" s="3475"/>
      <c r="D9" s="2472"/>
      <c r="E9" s="2470"/>
      <c r="F9" s="2473"/>
      <c r="G9" s="2473"/>
      <c r="H9" s="2474"/>
      <c r="I9" s="2475">
        <f t="shared" si="0"/>
        <v>0</v>
      </c>
    </row>
    <row r="10" spans="1:9">
      <c r="A10" s="3474"/>
      <c r="B10" s="3476" t="s">
        <v>2482</v>
      </c>
      <c r="C10" s="3476"/>
      <c r="D10" s="2476">
        <v>527</v>
      </c>
      <c r="E10" s="2476" t="e">
        <f>ROUND(D1*10000/D10/H9,0)</f>
        <v>#DIV/0!</v>
      </c>
      <c r="F10" s="2477"/>
      <c r="G10" s="2477"/>
      <c r="H10" s="2478"/>
      <c r="I10" s="2479">
        <f>SUM(I3:I9)</f>
        <v>0</v>
      </c>
    </row>
    <row r="11" spans="1:9" ht="14.25">
      <c r="A11" s="3474" t="s">
        <v>2483</v>
      </c>
      <c r="B11" s="3475" t="s">
        <v>2484</v>
      </c>
      <c r="C11" s="3475"/>
      <c r="D11" s="2472" t="s">
        <v>2485</v>
      </c>
      <c r="E11" s="2472" t="s">
        <v>2486</v>
      </c>
      <c r="F11" s="2473" t="s">
        <v>2487</v>
      </c>
      <c r="G11" s="2473" t="s">
        <v>2488</v>
      </c>
      <c r="H11" s="2480" t="s">
        <v>2489</v>
      </c>
      <c r="I11" s="2471" t="s">
        <v>2490</v>
      </c>
    </row>
    <row r="12" spans="1:9">
      <c r="A12" s="3474"/>
      <c r="B12" s="3475" t="s">
        <v>2491</v>
      </c>
      <c r="C12" s="3475"/>
      <c r="D12" s="2472"/>
      <c r="E12" s="2472"/>
      <c r="F12" s="2473"/>
      <c r="G12" s="2474"/>
      <c r="H12" s="2481"/>
      <c r="I12" s="2471">
        <f>ROUND(D12*E12*F12*G12/10000,0)</f>
        <v>0</v>
      </c>
    </row>
    <row r="13" spans="1:9">
      <c r="A13" s="3474"/>
      <c r="B13" s="3475" t="s">
        <v>2492</v>
      </c>
      <c r="C13" s="3475"/>
      <c r="D13" s="2472"/>
      <c r="E13" s="2472"/>
      <c r="F13" s="2473"/>
      <c r="G13" s="2474"/>
      <c r="H13" s="2481"/>
      <c r="I13" s="2471">
        <f>ROUND(D13*E13*F13*G13/10000,0)</f>
        <v>0</v>
      </c>
    </row>
    <row r="14" spans="1:9">
      <c r="A14" s="3474"/>
      <c r="B14" s="3475" t="s">
        <v>2493</v>
      </c>
      <c r="C14" s="3475"/>
      <c r="D14" s="2472"/>
      <c r="E14" s="2472"/>
      <c r="F14" s="2473"/>
      <c r="G14" s="2474"/>
      <c r="H14" s="2481"/>
      <c r="I14" s="2471">
        <f>ROUND(D14*E14*F14*G14/10000,0)</f>
        <v>0</v>
      </c>
    </row>
    <row r="15" spans="1:9">
      <c r="A15" s="3474"/>
      <c r="B15" s="3476" t="s">
        <v>2482</v>
      </c>
      <c r="C15" s="3476"/>
      <c r="D15" s="2476"/>
      <c r="E15" s="2476">
        <f>SUM(E12:E14)</f>
        <v>0</v>
      </c>
      <c r="F15" s="2477"/>
      <c r="G15" s="2474"/>
      <c r="H15" s="2481"/>
      <c r="I15" s="2482">
        <f>SUM(I12:I14)</f>
        <v>0</v>
      </c>
    </row>
    <row r="16" spans="1:9" ht="24">
      <c r="A16" s="3474" t="s">
        <v>2494</v>
      </c>
      <c r="B16" s="3475" t="s">
        <v>2495</v>
      </c>
      <c r="C16" s="3475"/>
      <c r="D16" s="2472" t="s">
        <v>2496</v>
      </c>
      <c r="E16" s="2483" t="s">
        <v>2497</v>
      </c>
      <c r="F16" s="2473" t="s">
        <v>2498</v>
      </c>
      <c r="G16" s="2474" t="s">
        <v>2488</v>
      </c>
      <c r="H16" s="2480" t="s">
        <v>2489</v>
      </c>
      <c r="I16" s="2471" t="s">
        <v>2490</v>
      </c>
    </row>
    <row r="17" spans="1:9" ht="14.25">
      <c r="A17" s="3474"/>
      <c r="B17" s="3475" t="s">
        <v>2499</v>
      </c>
      <c r="C17" s="3475"/>
      <c r="D17" s="2472"/>
      <c r="E17" s="2472"/>
      <c r="F17" s="2473"/>
      <c r="G17" s="2474"/>
      <c r="H17" s="2484"/>
      <c r="I17" s="2485">
        <f>ROUND(D17*E17*F17*G17/10000,0)</f>
        <v>0</v>
      </c>
    </row>
    <row r="18" spans="1:9" ht="14.25">
      <c r="A18" s="3474"/>
      <c r="B18" s="3475" t="s">
        <v>2500</v>
      </c>
      <c r="C18" s="3475"/>
      <c r="D18" s="2472"/>
      <c r="E18" s="2472"/>
      <c r="F18" s="2473"/>
      <c r="G18" s="2474"/>
      <c r="H18" s="2484"/>
      <c r="I18" s="2485">
        <f>ROUND(D18*E18*F18*G18/10000,0)</f>
        <v>0</v>
      </c>
    </row>
    <row r="19" spans="1:9" ht="14.25">
      <c r="A19" s="3474"/>
      <c r="B19" s="3475" t="s">
        <v>2501</v>
      </c>
      <c r="C19" s="3475"/>
      <c r="D19" s="2472"/>
      <c r="E19" s="2472"/>
      <c r="F19" s="2473"/>
      <c r="G19" s="2474"/>
      <c r="H19" s="2484"/>
      <c r="I19" s="2485">
        <f>ROUND(D19*E19*F19*G19/10000,0)</f>
        <v>0</v>
      </c>
    </row>
    <row r="20" spans="1:9">
      <c r="A20" s="3474"/>
      <c r="B20" s="3476" t="s">
        <v>2482</v>
      </c>
      <c r="C20" s="3476"/>
      <c r="D20" s="2476">
        <f>SUM(D17:D19)</f>
        <v>0</v>
      </c>
      <c r="E20" s="2476"/>
      <c r="F20" s="2477"/>
      <c r="G20" s="2474"/>
      <c r="H20" s="2481"/>
      <c r="I20" s="2482">
        <f>SUM(I17:I19)</f>
        <v>0</v>
      </c>
    </row>
    <row r="21" spans="1:9">
      <c r="A21" s="3474" t="s">
        <v>2502</v>
      </c>
      <c r="B21" s="3478"/>
      <c r="C21" s="3478"/>
      <c r="D21" s="3478"/>
      <c r="E21" s="3478"/>
      <c r="F21" s="3478"/>
      <c r="G21" s="3478"/>
      <c r="H21" s="2486">
        <v>0.1</v>
      </c>
      <c r="I21" s="2479">
        <f>ROUND(I10*H21,0)</f>
        <v>0</v>
      </c>
    </row>
    <row r="22" spans="1:9" ht="14.25">
      <c r="A22" s="3479" t="s">
        <v>2503</v>
      </c>
      <c r="B22" s="3480"/>
      <c r="C22" s="3481"/>
      <c r="D22" s="2487" t="s">
        <v>2504</v>
      </c>
      <c r="E22" s="2487" t="s">
        <v>2505</v>
      </c>
      <c r="F22" s="2488" t="s">
        <v>2506</v>
      </c>
      <c r="G22" s="2488" t="s">
        <v>2507</v>
      </c>
      <c r="H22" s="2480" t="s">
        <v>2508</v>
      </c>
      <c r="I22" s="2471" t="s">
        <v>2509</v>
      </c>
    </row>
    <row r="23" spans="1:9" ht="14.25" thickBot="1">
      <c r="A23" s="3482"/>
      <c r="B23" s="3483"/>
      <c r="C23" s="3484"/>
      <c r="D23" s="2489"/>
      <c r="E23" s="2489"/>
      <c r="F23" s="2489"/>
      <c r="G23" s="2490"/>
      <c r="H23" s="2491"/>
      <c r="I23" s="2492">
        <f>ROUND(E23*D23*F23*(1-G23)/10000,0)</f>
        <v>0</v>
      </c>
    </row>
    <row r="26" spans="1:9">
      <c r="A26" s="2493" t="s">
        <v>2510</v>
      </c>
      <c r="B26" s="2493"/>
      <c r="C26" s="2493"/>
      <c r="D26" s="2493"/>
      <c r="E26" s="3485">
        <f>C27-C30-C31-C32</f>
        <v>0</v>
      </c>
      <c r="F26" s="3485"/>
      <c r="G26" s="3485"/>
      <c r="H26" s="2994" t="s">
        <v>2838</v>
      </c>
    </row>
    <row r="27" spans="1:9">
      <c r="A27" s="2494">
        <v>1</v>
      </c>
      <c r="B27" s="2495" t="s">
        <v>2511</v>
      </c>
      <c r="C27" s="2495"/>
      <c r="D27" s="2495"/>
      <c r="E27" s="3486"/>
      <c r="F27" s="3486"/>
      <c r="G27" s="3486"/>
    </row>
    <row r="28" spans="1:9">
      <c r="A28" s="2496" t="s">
        <v>2512</v>
      </c>
      <c r="B28" s="2495" t="s">
        <v>2513</v>
      </c>
      <c r="C28" s="2495"/>
      <c r="D28" s="2495"/>
      <c r="E28" s="3486"/>
      <c r="F28" s="3486"/>
      <c r="G28" s="3486"/>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77"/>
      <c r="F32" s="3477"/>
      <c r="G32" s="3477"/>
    </row>
    <row r="33" spans="1:7" hidden="1">
      <c r="A33" s="3487" t="s">
        <v>2521</v>
      </c>
      <c r="B33" s="3488"/>
      <c r="C33" s="3488"/>
      <c r="D33" s="3489"/>
      <c r="E33" s="3485"/>
      <c r="F33" s="3485"/>
      <c r="G33" s="3485"/>
    </row>
    <row r="34" spans="1:7" hidden="1">
      <c r="A34" s="2498">
        <v>1</v>
      </c>
      <c r="B34" s="2495" t="s">
        <v>2522</v>
      </c>
      <c r="C34" s="2495"/>
      <c r="D34" s="2495"/>
      <c r="E34" s="3486"/>
      <c r="F34" s="3486"/>
      <c r="G34" s="3486"/>
    </row>
    <row r="35" spans="1:7" hidden="1">
      <c r="A35" s="2498">
        <v>2</v>
      </c>
      <c r="B35" s="2495" t="s">
        <v>2523</v>
      </c>
      <c r="C35" s="2495"/>
      <c r="D35" s="2495"/>
      <c r="E35" s="3486"/>
      <c r="F35" s="3486"/>
      <c r="G35" s="3486"/>
    </row>
    <row r="36" spans="1:7" hidden="1">
      <c r="A36" s="2498">
        <v>3</v>
      </c>
      <c r="B36" s="2495" t="s">
        <v>2524</v>
      </c>
      <c r="C36" s="2495"/>
      <c r="D36" s="2495"/>
      <c r="E36" s="3486"/>
      <c r="F36" s="3486"/>
      <c r="G36" s="3486"/>
    </row>
    <row r="37" spans="1:7" hidden="1">
      <c r="A37" s="2498">
        <v>4</v>
      </c>
      <c r="B37" s="2495" t="s">
        <v>2525</v>
      </c>
      <c r="C37" s="2495"/>
      <c r="D37" s="2495"/>
      <c r="E37" s="3486"/>
      <c r="F37" s="3486"/>
      <c r="G37" s="3486"/>
    </row>
    <row r="38" spans="1:7" hidden="1">
      <c r="A38" s="3487" t="s">
        <v>2526</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5"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612</v>
      </c>
      <c r="C10" s="749">
        <f>C11+C14+C15</f>
        <v>0</v>
      </c>
      <c r="D10" s="760">
        <f>'数据-汇总表'!E3</f>
        <v>148301.93</v>
      </c>
      <c r="E10" s="749">
        <f>'数据-取费表'!B31</f>
        <v>200</v>
      </c>
      <c r="F10" s="761"/>
      <c r="G10" s="759" t="s">
        <v>613</v>
      </c>
    </row>
    <row r="11" spans="1:25" s="2167" customFormat="1" ht="13.5" customHeight="1">
      <c r="A11" s="2432" t="s">
        <v>2436</v>
      </c>
      <c r="B11" s="752" t="s">
        <v>609</v>
      </c>
      <c r="C11" s="753">
        <f>'数据-取费表'!B29</f>
        <v>0</v>
      </c>
      <c r="D11" s="754"/>
      <c r="E11" s="753"/>
      <c r="F11" s="755"/>
      <c r="G11" s="2441" t="s">
        <v>2447</v>
      </c>
    </row>
    <row r="12" spans="1:25" s="2167" customFormat="1" ht="13.5" customHeight="1">
      <c r="A12" s="2439" t="s">
        <v>2444</v>
      </c>
      <c r="B12" s="756" t="s">
        <v>610</v>
      </c>
      <c r="C12" s="757">
        <f>ROUND(D12*E12/10000,0)</f>
        <v>0</v>
      </c>
      <c r="D12" s="758">
        <f>'数据-汇总表'!E5</f>
        <v>0</v>
      </c>
      <c r="E12" s="757">
        <f>'数据-取费表'!B27</f>
        <v>0</v>
      </c>
      <c r="F12" s="755"/>
      <c r="G12" s="759"/>
    </row>
    <row r="13" spans="1:25" s="2167" customFormat="1" ht="13.5" customHeight="1">
      <c r="A13" s="2439" t="s">
        <v>2443</v>
      </c>
      <c r="B13" s="756" t="s">
        <v>611</v>
      </c>
      <c r="C13" s="757">
        <f>ROUND(D13*E13/10000,0)</f>
        <v>1720</v>
      </c>
      <c r="D13" s="758">
        <f>'数据-汇总表'!E6</f>
        <v>148301.93</v>
      </c>
      <c r="E13" s="757">
        <f>'数据-取费表'!B28</f>
        <v>116</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614</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0.08</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5"/>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0.81</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6" t="s">
        <v>718</v>
      </c>
      <c r="C1" s="2587" t="s">
        <v>719</v>
      </c>
      <c r="D1" s="2588"/>
      <c r="E1" s="2589"/>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8" customFormat="1" ht="28.5" customHeight="1" thickBot="1">
      <c r="A3" s="509" t="s">
        <v>518</v>
      </c>
      <c r="B3" s="851" t="e">
        <f>C49</f>
        <v>#DIV/0!</v>
      </c>
      <c r="C3" s="852" t="s">
        <v>721</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520</v>
      </c>
      <c r="B4" s="513"/>
      <c r="C4" s="3378" t="s">
        <v>521</v>
      </c>
      <c r="D4" s="3379"/>
      <c r="E4" s="3414" t="s">
        <v>522</v>
      </c>
      <c r="F4" s="3415"/>
      <c r="G4" s="3378" t="s">
        <v>523</v>
      </c>
      <c r="H4" s="3379"/>
      <c r="I4" s="3378" t="s">
        <v>524</v>
      </c>
      <c r="J4" s="3379"/>
      <c r="K4" s="853"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5" t="s">
        <v>523</v>
      </c>
      <c r="AC4" s="3375" t="s">
        <v>524</v>
      </c>
    </row>
    <row r="5" spans="1:29" ht="15">
      <c r="A5" s="515"/>
      <c r="B5" s="516"/>
      <c r="C5" s="3394" t="s">
        <v>2923</v>
      </c>
      <c r="D5" s="3395"/>
      <c r="E5" s="3416" t="s">
        <v>2924</v>
      </c>
      <c r="F5" s="3417"/>
      <c r="G5" s="3394" t="s">
        <v>2925</v>
      </c>
      <c r="H5" s="3395"/>
      <c r="I5" s="3394" t="s">
        <v>2926</v>
      </c>
      <c r="J5" s="3395"/>
      <c r="K5" s="85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85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04" t="s">
        <v>529</v>
      </c>
      <c r="Q7" s="3406"/>
      <c r="R7" s="1554" t="s">
        <v>13</v>
      </c>
      <c r="S7" s="1555">
        <f t="shared" ref="S7:S15" si="0">F7</f>
        <v>0</v>
      </c>
      <c r="T7" s="1554" t="s">
        <v>13</v>
      </c>
      <c r="U7" s="1555">
        <f t="shared" ref="U7:U15" si="1">H7</f>
        <v>0</v>
      </c>
      <c r="V7" s="1554" t="s">
        <v>13</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04" t="s">
        <v>532</v>
      </c>
      <c r="Q8" s="3405"/>
      <c r="R8" s="1554" t="s">
        <v>13</v>
      </c>
      <c r="S8" s="1555">
        <f t="shared" si="0"/>
        <v>0</v>
      </c>
      <c r="T8" s="1554" t="s">
        <v>13</v>
      </c>
      <c r="U8" s="1555">
        <f t="shared" si="1"/>
        <v>0</v>
      </c>
      <c r="V8" s="1554" t="s">
        <v>13</v>
      </c>
      <c r="W8" s="1555">
        <f t="shared" si="2"/>
        <v>0</v>
      </c>
      <c r="X8" s="1556"/>
      <c r="Y8" s="3404" t="s">
        <v>532</v>
      </c>
      <c r="Z8" s="3405"/>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72"/>
      <c r="Q11" s="1147" t="str">
        <f t="shared" si="6"/>
        <v>容积率</v>
      </c>
      <c r="R11" s="1554" t="s">
        <v>11</v>
      </c>
      <c r="S11" s="1555" t="e">
        <f t="shared" si="0"/>
        <v>#N/A</v>
      </c>
      <c r="T11" s="1554" t="s">
        <v>11</v>
      </c>
      <c r="U11" s="1555" t="e">
        <f t="shared" si="1"/>
        <v>#N/A</v>
      </c>
      <c r="V11" s="1554" t="s">
        <v>11</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2"/>
      <c r="Q12" s="1147">
        <f t="shared" si="6"/>
        <v>111</v>
      </c>
      <c r="R12" s="1554" t="s">
        <v>11</v>
      </c>
      <c r="S12" s="1555">
        <f t="shared" si="0"/>
        <v>100</v>
      </c>
      <c r="T12" s="1554" t="s">
        <v>11</v>
      </c>
      <c r="U12" s="1555">
        <f t="shared" si="1"/>
        <v>100</v>
      </c>
      <c r="V12" s="1554" t="s">
        <v>11</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2"/>
      <c r="Q13" s="1147">
        <f t="shared" si="6"/>
        <v>111</v>
      </c>
      <c r="R13" s="1554" t="s">
        <v>11</v>
      </c>
      <c r="S13" s="1555">
        <f t="shared" si="0"/>
        <v>100</v>
      </c>
      <c r="T13" s="1554" t="s">
        <v>11</v>
      </c>
      <c r="U13" s="1555">
        <f t="shared" si="1"/>
        <v>100</v>
      </c>
      <c r="V13" s="1554" t="s">
        <v>11</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2"/>
      <c r="Q14" s="1147">
        <f t="shared" si="6"/>
        <v>111</v>
      </c>
      <c r="R14" s="1554" t="s">
        <v>11</v>
      </c>
      <c r="S14" s="1555">
        <f t="shared" si="0"/>
        <v>100</v>
      </c>
      <c r="T14" s="1554" t="s">
        <v>11</v>
      </c>
      <c r="U14" s="1555">
        <f t="shared" si="1"/>
        <v>100</v>
      </c>
      <c r="V14" s="1554" t="s">
        <v>11</v>
      </c>
      <c r="W14" s="1555">
        <f t="shared" si="2"/>
        <v>100</v>
      </c>
      <c r="X14" s="1556"/>
      <c r="Y14" s="3318"/>
      <c r="Z14" s="1146">
        <f t="shared" si="7"/>
        <v>111</v>
      </c>
      <c r="AA14" s="1557">
        <f t="shared" si="3"/>
        <v>1</v>
      </c>
      <c r="AB14" s="1557">
        <f t="shared" si="4"/>
        <v>1</v>
      </c>
      <c r="AC14" s="1557">
        <f t="shared" si="5"/>
        <v>1</v>
      </c>
    </row>
    <row r="15" spans="1:29" ht="99.75">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07" t="s">
        <v>539</v>
      </c>
      <c r="Q15" s="1558" t="str">
        <f t="shared" si="6"/>
        <v>居住社区成熟度</v>
      </c>
      <c r="R15" s="1559" t="s">
        <v>11</v>
      </c>
      <c r="S15" s="1560">
        <f t="shared" si="0"/>
        <v>100</v>
      </c>
      <c r="T15" s="1559" t="s">
        <v>11</v>
      </c>
      <c r="U15" s="1560">
        <f t="shared" si="1"/>
        <v>100</v>
      </c>
      <c r="V15" s="1559" t="s">
        <v>11</v>
      </c>
      <c r="W15" s="1560">
        <f t="shared" si="2"/>
        <v>100</v>
      </c>
      <c r="X15" s="1553"/>
      <c r="Y15" s="3407" t="s">
        <v>539</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6"/>
      <c r="M16" s="2118"/>
      <c r="N16" s="2118"/>
      <c r="O16" s="2125"/>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08"/>
      <c r="Q17" s="1558" t="str">
        <f>B17</f>
        <v>交通便捷度</v>
      </c>
      <c r="R17" s="1559" t="s">
        <v>11</v>
      </c>
      <c r="S17" s="1560">
        <f>F17</f>
        <v>100</v>
      </c>
      <c r="T17" s="1559" t="s">
        <v>11</v>
      </c>
      <c r="U17" s="1560">
        <f>H17</f>
        <v>100</v>
      </c>
      <c r="V17" s="1559" t="s">
        <v>11</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6"/>
      <c r="M18" s="2118"/>
      <c r="N18" s="2118"/>
      <c r="O18" s="2125"/>
      <c r="P18" s="3408"/>
      <c r="Q18" s="1558"/>
      <c r="R18" s="1559"/>
      <c r="S18" s="1560"/>
      <c r="T18" s="1559"/>
      <c r="U18" s="1560"/>
      <c r="V18" s="1559"/>
      <c r="W18" s="1560"/>
      <c r="X18" s="1553"/>
      <c r="Y18" s="3408"/>
      <c r="Z18" s="1561"/>
      <c r="AA18" s="1562">
        <v>1</v>
      </c>
      <c r="AB18" s="1562">
        <v>1</v>
      </c>
      <c r="AC18" s="1562">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08"/>
      <c r="Q19" s="1558" t="str">
        <f>B19</f>
        <v>公共配套设施</v>
      </c>
      <c r="R19" s="1559" t="s">
        <v>11</v>
      </c>
      <c r="S19" s="1560">
        <f>F19</f>
        <v>100</v>
      </c>
      <c r="T19" s="1559" t="s">
        <v>11</v>
      </c>
      <c r="U19" s="1560">
        <f>H19</f>
        <v>100</v>
      </c>
      <c r="V19" s="1559" t="s">
        <v>11</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08"/>
      <c r="Q21" s="2542" t="str">
        <f>B21</f>
        <v>基础设施水平</v>
      </c>
      <c r="R21" s="1559" t="s">
        <v>11</v>
      </c>
      <c r="S21" s="1560">
        <f>F21</f>
        <v>100</v>
      </c>
      <c r="T21" s="1559" t="s">
        <v>11</v>
      </c>
      <c r="U21" s="1560">
        <f>H21</f>
        <v>100</v>
      </c>
      <c r="V21" s="1559" t="s">
        <v>11</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2"/>
      <c r="L22" s="2126"/>
      <c r="M22" s="2118"/>
      <c r="N22" s="2118"/>
      <c r="O22" s="2125"/>
      <c r="P22" s="3408"/>
      <c r="Q22" s="2542"/>
      <c r="R22" s="1559"/>
      <c r="S22" s="1560"/>
      <c r="T22" s="1559"/>
      <c r="U22" s="1560"/>
      <c r="V22" s="1559"/>
      <c r="W22" s="1560"/>
      <c r="X22" s="2544"/>
      <c r="Y22" s="3408"/>
      <c r="Z22" s="2543"/>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8"/>
      <c r="Q27" s="1147" t="str">
        <f t="shared" si="11"/>
        <v>道路级别</v>
      </c>
      <c r="R27" s="1554" t="s">
        <v>11</v>
      </c>
      <c r="S27" s="1555">
        <f>F27</f>
        <v>100</v>
      </c>
      <c r="T27" s="1554" t="s">
        <v>11</v>
      </c>
      <c r="U27" s="1555">
        <f>H27</f>
        <v>100</v>
      </c>
      <c r="V27" s="1554" t="s">
        <v>11</v>
      </c>
      <c r="W27" s="1555">
        <f>J27</f>
        <v>100</v>
      </c>
      <c r="X27" s="1556"/>
      <c r="Y27" s="3408"/>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1"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09" t="s">
        <v>549</v>
      </c>
      <c r="Q32" s="1558" t="str">
        <f t="shared" si="11"/>
        <v>建筑类型</v>
      </c>
      <c r="R32" s="1559" t="s">
        <v>11</v>
      </c>
      <c r="S32" s="1560">
        <f t="shared" si="12"/>
        <v>100</v>
      </c>
      <c r="T32" s="1559" t="s">
        <v>11</v>
      </c>
      <c r="U32" s="1560">
        <f t="shared" si="13"/>
        <v>100</v>
      </c>
      <c r="V32" s="1559" t="s">
        <v>11</v>
      </c>
      <c r="W32" s="1560">
        <f t="shared" si="14"/>
        <v>100</v>
      </c>
      <c r="X32" s="1553"/>
      <c r="Y32" s="3410" t="s">
        <v>549</v>
      </c>
      <c r="Z32" s="1561" t="str">
        <f t="shared" si="15"/>
        <v>建筑类型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10"/>
      <c r="Q33" s="1590" t="str">
        <f t="shared" si="11"/>
        <v>项目建筑规模</v>
      </c>
      <c r="R33" s="1563" t="s">
        <v>11</v>
      </c>
      <c r="S33" s="1564" t="e">
        <f t="shared" si="12"/>
        <v>#N/A</v>
      </c>
      <c r="T33" s="1563" t="s">
        <v>11</v>
      </c>
      <c r="U33" s="1564" t="e">
        <f t="shared" si="13"/>
        <v>#N/A</v>
      </c>
      <c r="V33" s="1563" t="s">
        <v>11</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10"/>
      <c r="Q37" s="1147" t="str">
        <f t="shared" si="11"/>
        <v>成新度</v>
      </c>
      <c r="R37" s="1554" t="s">
        <v>11</v>
      </c>
      <c r="S37" s="1555" t="e">
        <f t="shared" si="12"/>
        <v>#N/A</v>
      </c>
      <c r="T37" s="1554" t="s">
        <v>11</v>
      </c>
      <c r="U37" s="1555" t="e">
        <f t="shared" si="13"/>
        <v>#N/A</v>
      </c>
      <c r="V37" s="1554" t="s">
        <v>11</v>
      </c>
      <c r="W37" s="1555" t="e">
        <f t="shared" si="14"/>
        <v>#N/A</v>
      </c>
      <c r="X37" s="1556"/>
      <c r="Y37" s="3410"/>
      <c r="Z37" s="1146" t="str">
        <f t="shared" si="15"/>
        <v>成新度</v>
      </c>
      <c r="AA37" s="1557" t="e">
        <f t="shared" si="3"/>
        <v>#N/A</v>
      </c>
      <c r="AB37" s="1557" t="e">
        <f t="shared" si="4"/>
        <v>#N/A</v>
      </c>
      <c r="AC37" s="1557"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10" t="s">
        <v>549</v>
      </c>
      <c r="Q38" s="1558" t="str">
        <f t="shared" si="11"/>
        <v>物业管理</v>
      </c>
      <c r="R38" s="1559" t="s">
        <v>11</v>
      </c>
      <c r="S38" s="1560">
        <f t="shared" si="12"/>
        <v>100</v>
      </c>
      <c r="T38" s="1559" t="s">
        <v>11</v>
      </c>
      <c r="U38" s="1560">
        <f t="shared" si="13"/>
        <v>100</v>
      </c>
      <c r="V38" s="1559" t="s">
        <v>11</v>
      </c>
      <c r="W38" s="1560">
        <f t="shared" si="14"/>
        <v>100</v>
      </c>
      <c r="X38" s="1553"/>
      <c r="Y38" s="3410" t="s">
        <v>549</v>
      </c>
      <c r="Z38" s="1561" t="str">
        <f t="shared" si="15"/>
        <v>物业管理</v>
      </c>
      <c r="AA38" s="1562">
        <f t="shared" si="3"/>
        <v>1</v>
      </c>
      <c r="AB38" s="1562">
        <f t="shared" si="4"/>
        <v>1</v>
      </c>
      <c r="AC38" s="1562">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0"/>
      <c r="Q44" s="1147">
        <f t="shared" si="11"/>
        <v>111</v>
      </c>
      <c r="R44" s="1554" t="s">
        <v>11</v>
      </c>
      <c r="S44" s="1555">
        <f t="shared" si="12"/>
        <v>100</v>
      </c>
      <c r="T44" s="1554" t="s">
        <v>11</v>
      </c>
      <c r="U44" s="1555">
        <f t="shared" si="13"/>
        <v>100</v>
      </c>
      <c r="V44" s="1554" t="s">
        <v>11</v>
      </c>
      <c r="W44" s="1555">
        <f t="shared" si="14"/>
        <v>100</v>
      </c>
      <c r="X44" s="1556"/>
      <c r="Y44" s="341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2"/>
      <c r="Q46" s="1558">
        <f t="shared" si="11"/>
        <v>111</v>
      </c>
      <c r="R46" s="1559" t="s">
        <v>10</v>
      </c>
      <c r="S46" s="1560">
        <f t="shared" si="12"/>
        <v>100</v>
      </c>
      <c r="T46" s="1559" t="s">
        <v>10</v>
      </c>
      <c r="U46" s="1560">
        <f t="shared" si="13"/>
        <v>100</v>
      </c>
      <c r="V46" s="1559" t="s">
        <v>10</v>
      </c>
      <c r="W46" s="1560">
        <f t="shared" si="14"/>
        <v>100</v>
      </c>
      <c r="X46" s="1553"/>
      <c r="Y46" s="3492"/>
      <c r="Z46" s="1561">
        <f t="shared" si="15"/>
        <v>111</v>
      </c>
      <c r="AA46" s="1562">
        <f t="shared" si="3"/>
        <v>1</v>
      </c>
      <c r="AB46" s="1562">
        <f t="shared" si="4"/>
        <v>1</v>
      </c>
      <c r="AC46" s="1562">
        <f t="shared" si="5"/>
        <v>1</v>
      </c>
    </row>
    <row r="47" spans="1:29" ht="15">
      <c r="A47" s="607" t="s">
        <v>735</v>
      </c>
      <c r="B47" s="887"/>
      <c r="C47" s="2590" t="s">
        <v>9</v>
      </c>
      <c r="D47" s="2591"/>
      <c r="E47" s="2592"/>
      <c r="F47" s="2593"/>
      <c r="G47" s="2594"/>
      <c r="H47" s="2595"/>
      <c r="I47" s="2592"/>
      <c r="J47" s="2595"/>
      <c r="K47" s="1591"/>
      <c r="L47" s="2128"/>
      <c r="M47" s="2129"/>
      <c r="N47" s="2118"/>
      <c r="O47" s="2129"/>
      <c r="P47" s="3372" t="str">
        <f>A47</f>
        <v>成交单价（元/平方米）</v>
      </c>
      <c r="Q47" s="3372"/>
      <c r="R47" s="3491">
        <f>E47</f>
        <v>0</v>
      </c>
      <c r="S47" s="3491"/>
      <c r="T47" s="3491">
        <f>G47</f>
        <v>0</v>
      </c>
      <c r="U47" s="3491"/>
      <c r="V47" s="3491">
        <f>I47</f>
        <v>0</v>
      </c>
      <c r="W47" s="3491"/>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2"/>
      <c r="L48" s="2128"/>
      <c r="M48" s="2129"/>
      <c r="N48" s="2129"/>
      <c r="O48" s="2129"/>
      <c r="P48" s="3372" t="str">
        <f>A48</f>
        <v>比较价格（元/平方米）</v>
      </c>
      <c r="Q48" s="337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2929</v>
      </c>
      <c r="B49" s="622"/>
      <c r="C49" s="2599" t="e">
        <f>R49</f>
        <v>#DIV/0!</v>
      </c>
      <c r="D49" s="2599"/>
      <c r="E49" s="2599"/>
      <c r="F49" s="2599"/>
      <c r="G49" s="2599"/>
      <c r="H49" s="2599"/>
      <c r="I49" s="2599"/>
      <c r="J49" s="2599"/>
      <c r="K49" s="1593"/>
      <c r="L49" s="2128"/>
      <c r="M49" s="2129"/>
      <c r="N49" s="2129"/>
      <c r="O49" s="2129"/>
      <c r="P49" s="3369" t="str">
        <f>A49</f>
        <v>估价对象XX用房的比较价格（楼面单价，元/平方米）</v>
      </c>
      <c r="Q49" s="3370"/>
      <c r="R49" s="3490" t="e">
        <f>IF(F1="售价",ROUND(AVERAGE(R48:V48),0),ROUND(AVERAGE(R48:V48),1))</f>
        <v>#DIV/0!</v>
      </c>
      <c r="S49" s="3490"/>
      <c r="T49" s="3490"/>
      <c r="U49" s="3490"/>
      <c r="V49" s="3490"/>
      <c r="W49" s="3490"/>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732</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3"/>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520</v>
      </c>
      <c r="B4" s="513"/>
      <c r="C4" s="3378" t="s">
        <v>521</v>
      </c>
      <c r="D4" s="3379"/>
      <c r="E4" s="3414" t="s">
        <v>522</v>
      </c>
      <c r="F4" s="3415"/>
      <c r="G4" s="3378" t="s">
        <v>523</v>
      </c>
      <c r="H4" s="3379"/>
      <c r="I4" s="3378" t="s">
        <v>524</v>
      </c>
      <c r="J4" s="3379"/>
      <c r="K4" s="514"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3" t="s">
        <v>523</v>
      </c>
      <c r="AC4" s="3375" t="s">
        <v>524</v>
      </c>
    </row>
    <row r="5" spans="1:29" ht="15">
      <c r="A5" s="515"/>
      <c r="B5" s="516"/>
      <c r="C5" s="3394" t="s">
        <v>2923</v>
      </c>
      <c r="D5" s="3395"/>
      <c r="E5" s="3416" t="s">
        <v>2924</v>
      </c>
      <c r="F5" s="3417"/>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3"/>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3"/>
      <c r="AC6" s="3377"/>
    </row>
    <row r="7" spans="1:29" s="1216" customFormat="1" ht="15.75" thickBot="1">
      <c r="A7" s="2866"/>
      <c r="B7" s="2873" t="s">
        <v>528</v>
      </c>
      <c r="C7" s="519">
        <f>'数据-取费表'!B2</f>
        <v>43651</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2"/>
      <c r="Q11" s="1147" t="str">
        <f t="shared" si="6"/>
        <v>容积率</v>
      </c>
      <c r="R11" s="1554" t="s">
        <v>8</v>
      </c>
      <c r="S11" s="1555" t="e">
        <f t="shared" si="0"/>
        <v>#N/A</v>
      </c>
      <c r="T11" s="1554" t="s">
        <v>8</v>
      </c>
      <c r="U11" s="1555" t="e">
        <f t="shared" si="1"/>
        <v>#N/A</v>
      </c>
      <c r="V11" s="1554" t="s">
        <v>8</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 t="shared" si="3"/>
        <v>1</v>
      </c>
      <c r="AB14" s="1557">
        <f t="shared" si="4"/>
        <v>1</v>
      </c>
      <c r="AC14" s="1557">
        <f t="shared" si="5"/>
        <v>1</v>
      </c>
    </row>
    <row r="15" spans="1:29" ht="71.25">
      <c r="A15" s="2864"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07" t="s">
        <v>539</v>
      </c>
      <c r="Q15" s="1558" t="str">
        <f t="shared" si="6"/>
        <v>商业繁华度</v>
      </c>
      <c r="R15" s="1559" t="s">
        <v>8</v>
      </c>
      <c r="S15" s="1560">
        <f t="shared" si="0"/>
        <v>100</v>
      </c>
      <c r="T15" s="1559" t="s">
        <v>8</v>
      </c>
      <c r="U15" s="1560">
        <f t="shared" si="1"/>
        <v>100</v>
      </c>
      <c r="V15" s="1559" t="s">
        <v>8</v>
      </c>
      <c r="W15" s="1560">
        <f t="shared" si="2"/>
        <v>100</v>
      </c>
      <c r="X15" s="1553"/>
      <c r="Y15" s="3407"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08"/>
      <c r="Q18" s="1558"/>
      <c r="R18" s="1559"/>
      <c r="S18" s="1560"/>
      <c r="T18" s="1559"/>
      <c r="U18" s="1560"/>
      <c r="V18" s="1559"/>
      <c r="W18" s="1560"/>
      <c r="X18" s="1553"/>
      <c r="Y18" s="3408"/>
      <c r="Z18" s="1561"/>
      <c r="AA18" s="1562">
        <v>1</v>
      </c>
      <c r="AB18" s="1562">
        <v>1</v>
      </c>
      <c r="AC18" s="1562">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408"/>
      <c r="Q22" s="2542"/>
      <c r="R22" s="1559"/>
      <c r="S22" s="1560"/>
      <c r="T22" s="1559"/>
      <c r="U22" s="1560"/>
      <c r="V22" s="1559"/>
      <c r="W22" s="1560"/>
      <c r="X22" s="2544"/>
      <c r="Y22" s="3408"/>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08"/>
      <c r="Q27" s="1147" t="str">
        <f t="shared" si="11"/>
        <v>人流量</v>
      </c>
      <c r="R27" s="1554" t="s">
        <v>8</v>
      </c>
      <c r="S27" s="1555">
        <f>F27</f>
        <v>100</v>
      </c>
      <c r="T27" s="1554" t="s">
        <v>8</v>
      </c>
      <c r="U27" s="1555">
        <f>H27</f>
        <v>100</v>
      </c>
      <c r="V27" s="1554" t="s">
        <v>8</v>
      </c>
      <c r="W27" s="1555">
        <f>J27</f>
        <v>100</v>
      </c>
      <c r="X27" s="1556"/>
      <c r="Y27" s="3408"/>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1"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9" t="s">
        <v>549</v>
      </c>
      <c r="Q32" s="1558" t="str">
        <f t="shared" si="11"/>
        <v>商业类型</v>
      </c>
      <c r="R32" s="1559" t="s">
        <v>8</v>
      </c>
      <c r="S32" s="1560">
        <f t="shared" si="12"/>
        <v>100</v>
      </c>
      <c r="T32" s="1559" t="s">
        <v>8</v>
      </c>
      <c r="U32" s="1560">
        <f t="shared" si="13"/>
        <v>100</v>
      </c>
      <c r="V32" s="1559" t="s">
        <v>8</v>
      </c>
      <c r="W32" s="1560">
        <f t="shared" si="14"/>
        <v>100</v>
      </c>
      <c r="X32" s="1553"/>
      <c r="Y32" s="3410"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6"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0"/>
      <c r="Q37" s="1147" t="str">
        <f t="shared" si="11"/>
        <v>市政基础设施</v>
      </c>
      <c r="R37" s="1554" t="s">
        <v>8</v>
      </c>
      <c r="S37" s="1555">
        <f t="shared" si="12"/>
        <v>100</v>
      </c>
      <c r="T37" s="1554" t="s">
        <v>8</v>
      </c>
      <c r="U37" s="1555">
        <f t="shared" si="13"/>
        <v>100</v>
      </c>
      <c r="V37" s="1554" t="s">
        <v>8</v>
      </c>
      <c r="W37" s="1555">
        <f t="shared" si="14"/>
        <v>100</v>
      </c>
      <c r="X37" s="1556"/>
      <c r="Y37" s="3410"/>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0" t="s">
        <v>765</v>
      </c>
      <c r="Q38" s="1558" t="str">
        <f t="shared" si="11"/>
        <v>业态</v>
      </c>
      <c r="R38" s="1559" t="s">
        <v>8</v>
      </c>
      <c r="S38" s="1560">
        <f t="shared" si="12"/>
        <v>100</v>
      </c>
      <c r="T38" s="1559" t="s">
        <v>8</v>
      </c>
      <c r="U38" s="1560">
        <f t="shared" si="13"/>
        <v>100</v>
      </c>
      <c r="V38" s="1559" t="s">
        <v>8</v>
      </c>
      <c r="W38" s="1560">
        <f t="shared" si="14"/>
        <v>100</v>
      </c>
      <c r="X38" s="1553"/>
      <c r="Y38" s="3410"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0"/>
      <c r="Q44" s="1147">
        <f t="shared" si="11"/>
        <v>111</v>
      </c>
      <c r="R44" s="1554" t="s">
        <v>8</v>
      </c>
      <c r="S44" s="1555">
        <f t="shared" si="12"/>
        <v>100</v>
      </c>
      <c r="T44" s="1554" t="s">
        <v>8</v>
      </c>
      <c r="U44" s="1555">
        <f t="shared" si="13"/>
        <v>100</v>
      </c>
      <c r="V44" s="1554" t="s">
        <v>8</v>
      </c>
      <c r="W44" s="1555">
        <f t="shared" si="14"/>
        <v>100</v>
      </c>
      <c r="X44" s="1556"/>
      <c r="Y44" s="341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5">
      <c r="A47" s="607" t="s">
        <v>735</v>
      </c>
      <c r="B47" s="887"/>
      <c r="C47" s="2590" t="s">
        <v>1</v>
      </c>
      <c r="D47" s="2591"/>
      <c r="E47" s="2592"/>
      <c r="F47" s="2593"/>
      <c r="G47" s="2594"/>
      <c r="H47" s="2595"/>
      <c r="I47" s="2592"/>
      <c r="J47" s="2595"/>
      <c r="K47" s="1596"/>
      <c r="L47" s="2128"/>
      <c r="M47" s="2129"/>
      <c r="N47" s="2118"/>
      <c r="O47" s="2129"/>
      <c r="P47" s="3372" t="str">
        <f>A47</f>
        <v>成交单价（元/平方米）</v>
      </c>
      <c r="Q47" s="3372"/>
      <c r="R47" s="3491">
        <f>E47</f>
        <v>0</v>
      </c>
      <c r="S47" s="3491"/>
      <c r="T47" s="3491">
        <f>G47</f>
        <v>0</v>
      </c>
      <c r="U47" s="3491"/>
      <c r="V47" s="3491">
        <f>I47</f>
        <v>0</v>
      </c>
      <c r="W47" s="3491"/>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7"/>
      <c r="L48" s="2128"/>
      <c r="M48" s="2129"/>
      <c r="N48" s="2118"/>
      <c r="O48" s="2129"/>
      <c r="P48" s="3372" t="str">
        <f>A48</f>
        <v>比较价格（元/平方米）</v>
      </c>
      <c r="Q48" s="337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2929</v>
      </c>
      <c r="B49" s="622"/>
      <c r="C49" s="2599" t="e">
        <f>R49</f>
        <v>#DIV/0!</v>
      </c>
      <c r="D49" s="2599"/>
      <c r="E49" s="2599"/>
      <c r="F49" s="2599"/>
      <c r="G49" s="2599"/>
      <c r="H49" s="2599"/>
      <c r="I49" s="2599"/>
      <c r="J49" s="2599"/>
      <c r="K49" s="1598"/>
      <c r="L49" s="2128"/>
      <c r="M49" s="2129"/>
      <c r="N49" s="2118"/>
      <c r="O49" s="2129"/>
      <c r="P49" s="3369" t="str">
        <f>A49</f>
        <v>估价对象XX用房的比较价格（楼面单价，元/平方米）</v>
      </c>
      <c r="Q49" s="3370"/>
      <c r="R49" s="3490" t="e">
        <f>IF(F1="售价",ROUND(AVERAGE(R48:V48),0),ROUND(AVERAGE(R48:V48),1))</f>
        <v>#DIV/0!</v>
      </c>
      <c r="S49" s="3490"/>
      <c r="T49" s="3490"/>
      <c r="U49" s="3490"/>
      <c r="V49" s="3490"/>
      <c r="W49" s="3490"/>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1"/>
      <c r="G1" s="1586" t="s">
        <v>720</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520</v>
      </c>
      <c r="B4" s="513"/>
      <c r="C4" s="3378" t="s">
        <v>521</v>
      </c>
      <c r="D4" s="3379"/>
      <c r="E4" s="3414" t="s">
        <v>522</v>
      </c>
      <c r="F4" s="3415"/>
      <c r="G4" s="3378" t="s">
        <v>523</v>
      </c>
      <c r="H4" s="3379"/>
      <c r="I4" s="3378" t="s">
        <v>524</v>
      </c>
      <c r="J4" s="3379"/>
      <c r="K4" s="514" t="s">
        <v>525</v>
      </c>
      <c r="L4" s="2117"/>
      <c r="M4" s="2118"/>
      <c r="N4" s="2118"/>
      <c r="O4" s="2118"/>
      <c r="P4" s="3494" t="s">
        <v>526</v>
      </c>
      <c r="Q4" s="3381"/>
      <c r="R4" s="3386" t="s">
        <v>522</v>
      </c>
      <c r="S4" s="3387"/>
      <c r="T4" s="3386" t="s">
        <v>523</v>
      </c>
      <c r="U4" s="3387"/>
      <c r="V4" s="3373" t="s">
        <v>524</v>
      </c>
      <c r="W4" s="3373"/>
      <c r="X4" s="1553"/>
      <c r="Y4" s="3386" t="s">
        <v>526</v>
      </c>
      <c r="Z4" s="3387"/>
      <c r="AA4" s="3375" t="s">
        <v>522</v>
      </c>
      <c r="AB4" s="3375" t="s">
        <v>523</v>
      </c>
      <c r="AC4" s="3375" t="s">
        <v>524</v>
      </c>
    </row>
    <row r="5" spans="1:29" ht="15">
      <c r="A5" s="515"/>
      <c r="B5" s="516"/>
      <c r="C5" s="3394" t="s">
        <v>2923</v>
      </c>
      <c r="D5" s="3395"/>
      <c r="E5" s="3416" t="s">
        <v>2924</v>
      </c>
      <c r="F5" s="3417"/>
      <c r="G5" s="3394" t="s">
        <v>2925</v>
      </c>
      <c r="H5" s="3395"/>
      <c r="I5" s="3394" t="s">
        <v>2926</v>
      </c>
      <c r="J5" s="3395"/>
      <c r="K5" s="514"/>
      <c r="L5" s="2117"/>
      <c r="M5" s="2118"/>
      <c r="N5" s="2118"/>
      <c r="O5" s="2118"/>
      <c r="P5" s="3495"/>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496"/>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6"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6" t="s">
        <v>532</v>
      </c>
      <c r="Q8" s="3405"/>
      <c r="R8" s="1554" t="s">
        <v>8</v>
      </c>
      <c r="S8" s="1555">
        <f t="shared" si="0"/>
        <v>0</v>
      </c>
      <c r="T8" s="1554" t="s">
        <v>8</v>
      </c>
      <c r="U8" s="1555">
        <f t="shared" si="1"/>
        <v>0</v>
      </c>
      <c r="V8" s="1554" t="s">
        <v>8</v>
      </c>
      <c r="W8" s="1555">
        <f t="shared" si="2"/>
        <v>0</v>
      </c>
      <c r="X8" s="1556"/>
      <c r="Y8" s="3404" t="s">
        <v>532</v>
      </c>
      <c r="Z8" s="3405"/>
      <c r="AA8" s="1557" t="e">
        <f t="shared" ref="AA8:AA47" si="3">D8/F8</f>
        <v>#DIV/0!</v>
      </c>
      <c r="AB8" s="1557" t="e">
        <f t="shared" ref="AB8:AB47" si="4">D8/H8</f>
        <v>#DIV/0!</v>
      </c>
      <c r="AC8" s="1557" t="e">
        <f t="shared" ref="AC8:AC47" si="5">D8/J8</f>
        <v>#DIV/0!</v>
      </c>
    </row>
    <row r="9" spans="1:29" s="1216" customFormat="1" ht="15">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2"/>
      <c r="Q11" s="1147" t="str">
        <f t="shared" si="6"/>
        <v>容积率</v>
      </c>
      <c r="R11" s="1554" t="s">
        <v>8</v>
      </c>
      <c r="S11" s="1555" t="e">
        <f t="shared" si="0"/>
        <v>#N/A</v>
      </c>
      <c r="T11" s="1554" t="s">
        <v>8</v>
      </c>
      <c r="U11" s="1555" t="e">
        <f t="shared" si="1"/>
        <v>#N/A</v>
      </c>
      <c r="V11" s="1554" t="s">
        <v>8</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 t="shared" si="3"/>
        <v>1</v>
      </c>
      <c r="AB14" s="1557">
        <f t="shared" si="4"/>
        <v>1</v>
      </c>
      <c r="AC14" s="1557">
        <f t="shared" si="5"/>
        <v>1</v>
      </c>
    </row>
    <row r="15" spans="1:29" ht="71.25">
      <c r="A15" s="2864"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07" t="s">
        <v>539</v>
      </c>
      <c r="Q15" s="1558" t="str">
        <f t="shared" si="6"/>
        <v>办公集聚程度</v>
      </c>
      <c r="R15" s="1559" t="s">
        <v>8</v>
      </c>
      <c r="S15" s="1560">
        <f t="shared" si="0"/>
        <v>100</v>
      </c>
      <c r="T15" s="1559" t="s">
        <v>8</v>
      </c>
      <c r="U15" s="1560">
        <f t="shared" si="1"/>
        <v>100</v>
      </c>
      <c r="V15" s="1559" t="s">
        <v>8</v>
      </c>
      <c r="W15" s="1560">
        <f t="shared" si="2"/>
        <v>100</v>
      </c>
      <c r="X15" s="1553"/>
      <c r="Y15" s="3407"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6"/>
      <c r="M16" s="2118"/>
      <c r="N16" s="2118"/>
      <c r="O16" s="2118"/>
      <c r="P16" s="3408"/>
      <c r="Q16" s="1558"/>
      <c r="R16" s="1559"/>
      <c r="S16" s="1560"/>
      <c r="T16" s="1559"/>
      <c r="U16" s="1560"/>
      <c r="V16" s="1559"/>
      <c r="W16" s="1560"/>
      <c r="X16" s="1553"/>
      <c r="Y16" s="3408"/>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6"/>
      <c r="M18" s="2118"/>
      <c r="N18" s="2118"/>
      <c r="O18" s="2118"/>
      <c r="P18" s="3408"/>
      <c r="Q18" s="1558"/>
      <c r="R18" s="1559"/>
      <c r="S18" s="1560"/>
      <c r="T18" s="1559"/>
      <c r="U18" s="1560"/>
      <c r="V18" s="1559"/>
      <c r="W18" s="1560"/>
      <c r="X18" s="1553"/>
      <c r="Y18" s="3408"/>
      <c r="Z18" s="1561"/>
      <c r="AA18" s="1562">
        <v>1</v>
      </c>
      <c r="AB18" s="1562">
        <v>1</v>
      </c>
      <c r="AC18" s="1562">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6"/>
      <c r="M20" s="2118"/>
      <c r="N20" s="2118"/>
      <c r="O20" s="2118"/>
      <c r="P20" s="3408"/>
      <c r="Q20" s="1558"/>
      <c r="R20" s="1559"/>
      <c r="S20" s="1560"/>
      <c r="T20" s="1559"/>
      <c r="U20" s="1560"/>
      <c r="V20" s="1559"/>
      <c r="W20" s="1560"/>
      <c r="X20" s="1553"/>
      <c r="Y20" s="3408"/>
      <c r="Z20" s="1561"/>
      <c r="AA20" s="1562">
        <v>1</v>
      </c>
      <c r="AB20" s="1562">
        <v>1</v>
      </c>
      <c r="AC20" s="1562">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408"/>
      <c r="Q22" s="2542"/>
      <c r="R22" s="1559"/>
      <c r="S22" s="1560"/>
      <c r="T22" s="1559"/>
      <c r="U22" s="1560"/>
      <c r="V22" s="1559"/>
      <c r="W22" s="1560"/>
      <c r="X22" s="2544"/>
      <c r="Y22" s="3408"/>
      <c r="Z22" s="2543"/>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6"/>
      <c r="M24" s="2118"/>
      <c r="N24" s="2118"/>
      <c r="O24" s="2118"/>
      <c r="P24" s="3408"/>
      <c r="Q24" s="1558"/>
      <c r="R24" s="1559"/>
      <c r="S24" s="1560"/>
      <c r="T24" s="1559"/>
      <c r="U24" s="1560"/>
      <c r="V24" s="1559"/>
      <c r="W24" s="1560"/>
      <c r="X24" s="1553"/>
      <c r="Y24" s="3408"/>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6"/>
      <c r="M26" s="2118"/>
      <c r="N26" s="2118"/>
      <c r="O26" s="2118"/>
      <c r="P26" s="3408"/>
      <c r="Q26" s="1558"/>
      <c r="R26" s="1559"/>
      <c r="S26" s="1560"/>
      <c r="T26" s="1559"/>
      <c r="U26" s="1560"/>
      <c r="V26" s="1559"/>
      <c r="W26" s="1560"/>
      <c r="X26" s="1553"/>
      <c r="Y26" s="3408"/>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08"/>
      <c r="Q28" s="1147" t="str">
        <f t="shared" si="11"/>
        <v>朝向</v>
      </c>
      <c r="R28" s="1554" t="s">
        <v>8</v>
      </c>
      <c r="S28" s="1555">
        <f>F28</f>
        <v>100</v>
      </c>
      <c r="T28" s="1554" t="s">
        <v>8</v>
      </c>
      <c r="U28" s="1555">
        <f>H28</f>
        <v>100</v>
      </c>
      <c r="V28" s="1554" t="s">
        <v>8</v>
      </c>
      <c r="W28" s="1555">
        <f>J28</f>
        <v>100</v>
      </c>
      <c r="X28" s="1556"/>
      <c r="Y28" s="3408"/>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1"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09" t="s">
        <v>549</v>
      </c>
      <c r="Q33" s="1558" t="str">
        <f t="shared" si="11"/>
        <v>建筑类型</v>
      </c>
      <c r="R33" s="1559" t="s">
        <v>8</v>
      </c>
      <c r="S33" s="1560">
        <f t="shared" si="12"/>
        <v>100</v>
      </c>
      <c r="T33" s="1559" t="s">
        <v>8</v>
      </c>
      <c r="U33" s="1560">
        <f t="shared" si="13"/>
        <v>100</v>
      </c>
      <c r="V33" s="1559" t="s">
        <v>8</v>
      </c>
      <c r="W33" s="1560">
        <f t="shared" si="14"/>
        <v>100</v>
      </c>
      <c r="X33" s="1553"/>
      <c r="Y33" s="3410"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0"/>
      <c r="Q38" s="1147" t="str">
        <f t="shared" si="11"/>
        <v>写字楼等级</v>
      </c>
      <c r="R38" s="1554" t="s">
        <v>8</v>
      </c>
      <c r="S38" s="1555">
        <f t="shared" si="12"/>
        <v>100</v>
      </c>
      <c r="T38" s="1554" t="s">
        <v>8</v>
      </c>
      <c r="U38" s="1555">
        <f t="shared" si="13"/>
        <v>100</v>
      </c>
      <c r="V38" s="1554" t="s">
        <v>8</v>
      </c>
      <c r="W38" s="1555">
        <f t="shared" si="14"/>
        <v>100</v>
      </c>
      <c r="X38" s="1556"/>
      <c r="Y38" s="3410"/>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0" t="s">
        <v>549</v>
      </c>
      <c r="Q39" s="1558" t="str">
        <f t="shared" si="11"/>
        <v>物业管理</v>
      </c>
      <c r="R39" s="1559" t="s">
        <v>8</v>
      </c>
      <c r="S39" s="1560">
        <f t="shared" si="12"/>
        <v>100</v>
      </c>
      <c r="T39" s="1559" t="s">
        <v>8</v>
      </c>
      <c r="U39" s="1560">
        <f t="shared" si="13"/>
        <v>100</v>
      </c>
      <c r="V39" s="1559" t="s">
        <v>8</v>
      </c>
      <c r="W39" s="1560">
        <f t="shared" si="14"/>
        <v>100</v>
      </c>
      <c r="X39" s="1553"/>
      <c r="Y39" s="3410" t="s">
        <v>549</v>
      </c>
      <c r="Z39" s="1561" t="str">
        <f t="shared" si="15"/>
        <v>物业管理</v>
      </c>
      <c r="AA39" s="1562">
        <f t="shared" si="3"/>
        <v>1</v>
      </c>
      <c r="AB39" s="1562">
        <f t="shared" si="4"/>
        <v>1</v>
      </c>
      <c r="AC39" s="1562">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0"/>
      <c r="Q45" s="1147">
        <f t="shared" si="11"/>
        <v>111</v>
      </c>
      <c r="R45" s="1554" t="s">
        <v>8</v>
      </c>
      <c r="S45" s="1555">
        <f t="shared" si="12"/>
        <v>100</v>
      </c>
      <c r="T45" s="1554" t="s">
        <v>8</v>
      </c>
      <c r="U45" s="1555">
        <f t="shared" si="13"/>
        <v>100</v>
      </c>
      <c r="V45" s="1554" t="s">
        <v>8</v>
      </c>
      <c r="W45" s="1555">
        <f t="shared" si="14"/>
        <v>100</v>
      </c>
      <c r="X45" s="1556"/>
      <c r="Y45" s="3410"/>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5">
      <c r="A48" s="607" t="s">
        <v>735</v>
      </c>
      <c r="B48" s="887"/>
      <c r="C48" s="2590" t="s">
        <v>1</v>
      </c>
      <c r="D48" s="2591"/>
      <c r="E48" s="2592"/>
      <c r="F48" s="2593"/>
      <c r="G48" s="2594"/>
      <c r="H48" s="2595"/>
      <c r="I48" s="2592"/>
      <c r="J48" s="2595"/>
      <c r="K48" s="1596"/>
      <c r="L48" s="2128"/>
      <c r="M48" s="2118"/>
      <c r="N48" s="2118"/>
      <c r="O48" s="2118"/>
      <c r="P48" s="3370" t="str">
        <f>A48</f>
        <v>成交单价（元/平方米）</v>
      </c>
      <c r="Q48" s="3372"/>
      <c r="R48" s="3491">
        <f>E48</f>
        <v>0</v>
      </c>
      <c r="S48" s="3491"/>
      <c r="T48" s="3491">
        <f>G48</f>
        <v>0</v>
      </c>
      <c r="U48" s="3491"/>
      <c r="V48" s="3491">
        <f>I48</f>
        <v>0</v>
      </c>
      <c r="W48" s="3491"/>
      <c r="X48" s="1545"/>
      <c r="Y48" s="1567"/>
      <c r="Z48" s="1545"/>
      <c r="AA48" s="1545"/>
      <c r="AB48" s="1545"/>
      <c r="AC48" s="1545"/>
    </row>
    <row r="49" spans="1:29" ht="15.75" thickBot="1">
      <c r="A49" s="615" t="s">
        <v>2755</v>
      </c>
      <c r="B49" s="888"/>
      <c r="C49" s="2596" t="e">
        <f>R50</f>
        <v>#DIV/0!</v>
      </c>
      <c r="D49" s="2597"/>
      <c r="E49" s="2598" t="e">
        <f>R49</f>
        <v>#DIV/0!</v>
      </c>
      <c r="F49" s="2598"/>
      <c r="G49" s="2596" t="e">
        <f>T49</f>
        <v>#DIV/0!</v>
      </c>
      <c r="H49" s="2597"/>
      <c r="I49" s="2598" t="e">
        <f>V49</f>
        <v>#DIV/0!</v>
      </c>
      <c r="J49" s="2597"/>
      <c r="K49" s="1597"/>
      <c r="L49" s="2128"/>
      <c r="M49" s="2118"/>
      <c r="N49" s="2118"/>
      <c r="O49" s="2118"/>
      <c r="P49" s="3370" t="str">
        <f>A49</f>
        <v>比较价格（元/平方米）</v>
      </c>
      <c r="Q49" s="3372"/>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75" thickBot="1">
      <c r="A50" s="621" t="s">
        <v>2929</v>
      </c>
      <c r="B50" s="622"/>
      <c r="C50" s="2599" t="e">
        <f>R50</f>
        <v>#DIV/0!</v>
      </c>
      <c r="D50" s="2599"/>
      <c r="E50" s="2599"/>
      <c r="F50" s="2599"/>
      <c r="G50" s="2599"/>
      <c r="H50" s="2599"/>
      <c r="I50" s="2599"/>
      <c r="J50" s="2599"/>
      <c r="K50" s="1598"/>
      <c r="L50" s="2128"/>
      <c r="M50" s="2118"/>
      <c r="N50" s="2118"/>
      <c r="O50" s="2118"/>
      <c r="P50" s="3493" t="str">
        <f>A50</f>
        <v>估价对象XX用房的比较价格（楼面单价，元/平方米）</v>
      </c>
      <c r="Q50" s="3370"/>
      <c r="R50" s="3490" t="e">
        <f>IF(F1="售价",ROUND(AVERAGE(R49:V49),0),ROUND(AVERAGE(R49:V49),1))</f>
        <v>#DIV/0!</v>
      </c>
      <c r="S50" s="3490"/>
      <c r="T50" s="3490"/>
      <c r="U50" s="3490"/>
      <c r="V50" s="3490"/>
      <c r="W50" s="3490"/>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3" customFormat="1" ht="15">
      <c r="A59" s="645" t="s">
        <v>528</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520</v>
      </c>
      <c r="B4" s="513"/>
      <c r="C4" s="3378" t="s">
        <v>521</v>
      </c>
      <c r="D4" s="3379"/>
      <c r="E4" s="3414" t="s">
        <v>522</v>
      </c>
      <c r="F4" s="3415"/>
      <c r="G4" s="3378" t="s">
        <v>523</v>
      </c>
      <c r="H4" s="3379"/>
      <c r="I4" s="3378" t="s">
        <v>524</v>
      </c>
      <c r="J4" s="3379"/>
      <c r="K4" s="514"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6" t="s">
        <v>523</v>
      </c>
      <c r="AC4" s="3375" t="s">
        <v>524</v>
      </c>
    </row>
    <row r="5" spans="1:29" ht="15">
      <c r="A5" s="515"/>
      <c r="B5" s="516"/>
      <c r="C5" s="3394" t="s">
        <v>2923</v>
      </c>
      <c r="D5" s="3395"/>
      <c r="E5" s="3416" t="s">
        <v>2924</v>
      </c>
      <c r="F5" s="3417"/>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40" si="3">D8/F8</f>
        <v>#DIV/0!</v>
      </c>
      <c r="AB8" s="1557" t="e">
        <f t="shared" ref="AB8:AB40" si="4">D8/H8</f>
        <v>#DIV/0!</v>
      </c>
      <c r="AC8" s="1557" t="e">
        <f t="shared" ref="AC8:AC40" si="5">D8/J8</f>
        <v>#DIV/0!</v>
      </c>
    </row>
    <row r="9" spans="1:29" s="1216" customFormat="1" ht="15">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2"/>
      <c r="Q11" s="1147" t="str">
        <f t="shared" si="6"/>
        <v>容积率</v>
      </c>
      <c r="R11" s="1554" t="s">
        <v>8</v>
      </c>
      <c r="S11" s="1555" t="e">
        <f t="shared" si="0"/>
        <v>#N/A</v>
      </c>
      <c r="T11" s="1554" t="s">
        <v>8</v>
      </c>
      <c r="U11" s="1555" t="e">
        <f t="shared" si="1"/>
        <v>#N/A</v>
      </c>
      <c r="V11" s="1554" t="s">
        <v>8</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 t="shared" si="3"/>
        <v>1</v>
      </c>
      <c r="AB14" s="1557">
        <f t="shared" si="4"/>
        <v>1</v>
      </c>
      <c r="AC14" s="1557">
        <f t="shared" si="5"/>
        <v>1</v>
      </c>
    </row>
    <row r="15" spans="1:29" ht="57">
      <c r="A15" s="2864"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07" t="s">
        <v>539</v>
      </c>
      <c r="Q15" s="1558" t="str">
        <f t="shared" si="6"/>
        <v>产业集聚程度</v>
      </c>
      <c r="R15" s="1559" t="s">
        <v>8</v>
      </c>
      <c r="S15" s="1560">
        <f t="shared" si="0"/>
        <v>100</v>
      </c>
      <c r="T15" s="1559" t="s">
        <v>8</v>
      </c>
      <c r="U15" s="1560">
        <f t="shared" si="1"/>
        <v>100</v>
      </c>
      <c r="V15" s="1559" t="s">
        <v>8</v>
      </c>
      <c r="W15" s="1560">
        <f t="shared" si="2"/>
        <v>100</v>
      </c>
      <c r="X15" s="1553"/>
      <c r="Y15" s="3407"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08"/>
      <c r="Q18" s="1558"/>
      <c r="R18" s="1559"/>
      <c r="S18" s="1560"/>
      <c r="T18" s="1559"/>
      <c r="U18" s="1560"/>
      <c r="V18" s="1559"/>
      <c r="W18" s="1560"/>
      <c r="X18" s="1553"/>
      <c r="Y18" s="3408"/>
      <c r="Z18" s="1561"/>
      <c r="AA18" s="1562">
        <v>1</v>
      </c>
      <c r="AB18" s="1562">
        <v>1</v>
      </c>
      <c r="AC18" s="1562">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408"/>
      <c r="Q22" s="2542"/>
      <c r="R22" s="1559"/>
      <c r="S22" s="1560"/>
      <c r="T22" s="1559"/>
      <c r="U22" s="1560"/>
      <c r="V22" s="1559"/>
      <c r="W22" s="1560"/>
      <c r="X22" s="2544"/>
      <c r="Y22" s="3408"/>
      <c r="Z22" s="2543"/>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8"/>
      <c r="Q27" s="1147">
        <f t="shared" si="11"/>
        <v>111</v>
      </c>
      <c r="R27" s="1554" t="s">
        <v>8</v>
      </c>
      <c r="S27" s="1555">
        <f>F27</f>
        <v>100</v>
      </c>
      <c r="T27" s="1554" t="s">
        <v>8</v>
      </c>
      <c r="U27" s="1555">
        <f>H27</f>
        <v>100</v>
      </c>
      <c r="V27" s="1554" t="s">
        <v>8</v>
      </c>
      <c r="W27" s="1555">
        <f>J27</f>
        <v>100</v>
      </c>
      <c r="X27" s="1556"/>
      <c r="Y27" s="3408"/>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1"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09" t="s">
        <v>549</v>
      </c>
      <c r="Q29" s="1558" t="str">
        <f t="shared" si="11"/>
        <v>建筑类型</v>
      </c>
      <c r="R29" s="1559" t="s">
        <v>8</v>
      </c>
      <c r="S29" s="1560">
        <f t="shared" si="12"/>
        <v>100</v>
      </c>
      <c r="T29" s="1559" t="s">
        <v>8</v>
      </c>
      <c r="U29" s="1560">
        <f t="shared" si="13"/>
        <v>100</v>
      </c>
      <c r="V29" s="1559" t="s">
        <v>8</v>
      </c>
      <c r="W29" s="1560">
        <f t="shared" si="14"/>
        <v>100</v>
      </c>
      <c r="X29" s="1553"/>
      <c r="Y29" s="3410"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0"/>
      <c r="Q34" s="1147" t="str">
        <f t="shared" si="11"/>
        <v>物业管理</v>
      </c>
      <c r="R34" s="1554" t="s">
        <v>8</v>
      </c>
      <c r="S34" s="1555">
        <f t="shared" si="12"/>
        <v>100</v>
      </c>
      <c r="T34" s="1554" t="s">
        <v>8</v>
      </c>
      <c r="U34" s="1555">
        <f t="shared" si="13"/>
        <v>100</v>
      </c>
      <c r="V34" s="1554" t="s">
        <v>8</v>
      </c>
      <c r="W34" s="1555">
        <f t="shared" si="14"/>
        <v>100</v>
      </c>
      <c r="X34" s="1556"/>
      <c r="Y34" s="3410"/>
      <c r="Z34" s="1146" t="str">
        <f t="shared" si="15"/>
        <v>物业管理</v>
      </c>
      <c r="AA34" s="1557">
        <f t="shared" si="3"/>
        <v>1</v>
      </c>
      <c r="AB34" s="1557">
        <f t="shared" si="4"/>
        <v>1</v>
      </c>
      <c r="AC34" s="1557">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0" t="s">
        <v>549</v>
      </c>
      <c r="Q35" s="1558" t="str">
        <f t="shared" si="11"/>
        <v>市政基础设施</v>
      </c>
      <c r="R35" s="1559" t="s">
        <v>8</v>
      </c>
      <c r="S35" s="1560">
        <f t="shared" si="12"/>
        <v>100</v>
      </c>
      <c r="T35" s="1559" t="s">
        <v>8</v>
      </c>
      <c r="U35" s="1560">
        <f t="shared" si="13"/>
        <v>100</v>
      </c>
      <c r="V35" s="1559" t="s">
        <v>8</v>
      </c>
      <c r="W35" s="1560">
        <f t="shared" si="14"/>
        <v>100</v>
      </c>
      <c r="X35" s="1553"/>
      <c r="Y35" s="3410"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5">
      <c r="A41" s="607" t="s">
        <v>735</v>
      </c>
      <c r="B41" s="887"/>
      <c r="C41" s="2590" t="s">
        <v>1</v>
      </c>
      <c r="D41" s="2591"/>
      <c r="E41" s="2592"/>
      <c r="F41" s="2593"/>
      <c r="G41" s="2594"/>
      <c r="H41" s="2595"/>
      <c r="I41" s="2592"/>
      <c r="J41" s="2595"/>
      <c r="K41" s="1596"/>
      <c r="L41" s="2128"/>
      <c r="M41" s="2129"/>
      <c r="N41" s="2118"/>
      <c r="O41" s="2129"/>
      <c r="P41" s="3372" t="str">
        <f>A41</f>
        <v>成交单价（元/平方米）</v>
      </c>
      <c r="Q41" s="3372"/>
      <c r="R41" s="3491">
        <f>E41</f>
        <v>0</v>
      </c>
      <c r="S41" s="3491"/>
      <c r="T41" s="3491">
        <f>G41</f>
        <v>0</v>
      </c>
      <c r="U41" s="3491"/>
      <c r="V41" s="3491">
        <f>I41</f>
        <v>0</v>
      </c>
      <c r="W41" s="3491"/>
      <c r="X41" s="1545"/>
      <c r="Y41" s="1567"/>
      <c r="Z41" s="1545"/>
      <c r="AA41" s="1545"/>
      <c r="AB41" s="1545"/>
      <c r="AC41" s="1545"/>
    </row>
    <row r="42" spans="1:29" ht="15.75" thickBot="1">
      <c r="A42" s="615" t="s">
        <v>2755</v>
      </c>
      <c r="B42" s="888"/>
      <c r="C42" s="2596" t="e">
        <f>R43</f>
        <v>#DIV/0!</v>
      </c>
      <c r="D42" s="2597"/>
      <c r="E42" s="2598" t="e">
        <f>R42</f>
        <v>#DIV/0!</v>
      </c>
      <c r="F42" s="2598"/>
      <c r="G42" s="2596" t="e">
        <f>T42</f>
        <v>#DIV/0!</v>
      </c>
      <c r="H42" s="2597"/>
      <c r="I42" s="2598" t="e">
        <f>V42</f>
        <v>#DIV/0!</v>
      </c>
      <c r="J42" s="2597"/>
      <c r="K42" s="1597"/>
      <c r="L42" s="2128"/>
      <c r="M42" s="2129"/>
      <c r="N42" s="2118"/>
      <c r="O42" s="2129"/>
      <c r="P42" s="3372" t="str">
        <f>A42</f>
        <v>比较价格（元/平方米）</v>
      </c>
      <c r="Q42" s="3372"/>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75" thickBot="1">
      <c r="A43" s="621" t="s">
        <v>2929</v>
      </c>
      <c r="B43" s="622"/>
      <c r="C43" s="2599" t="e">
        <f>R43</f>
        <v>#DIV/0!</v>
      </c>
      <c r="D43" s="2599"/>
      <c r="E43" s="2599"/>
      <c r="F43" s="2599"/>
      <c r="G43" s="2599"/>
      <c r="H43" s="2599"/>
      <c r="I43" s="2599"/>
      <c r="J43" s="2599"/>
      <c r="K43" s="1598"/>
      <c r="L43" s="2128"/>
      <c r="M43" s="2129"/>
      <c r="N43" s="2129"/>
      <c r="O43" s="2129"/>
      <c r="P43" s="3369" t="str">
        <f>A43</f>
        <v>估价对象XX用房的比较价格（楼面单价，元/平方米）</v>
      </c>
      <c r="Q43" s="3370"/>
      <c r="R43" s="3490" t="e">
        <f>IF(F1="售价",ROUND(AVERAGE(R42:V42),0),ROUND(AVERAGE(R42:V42),1))</f>
        <v>#DIV/0!</v>
      </c>
      <c r="S43" s="3490"/>
      <c r="T43" s="3490"/>
      <c r="U43" s="3490"/>
      <c r="V43" s="3490"/>
      <c r="W43" s="3490"/>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3" customFormat="1" ht="15">
      <c r="A52" s="645" t="s">
        <v>528</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78" t="s">
        <v>797</v>
      </c>
      <c r="D4" s="3379"/>
      <c r="E4" s="3378" t="s">
        <v>798</v>
      </c>
      <c r="F4" s="3379"/>
      <c r="G4" s="3378" t="s">
        <v>799</v>
      </c>
      <c r="H4" s="3379"/>
      <c r="I4" s="3378" t="s">
        <v>800</v>
      </c>
      <c r="J4" s="3379"/>
      <c r="K4" s="514" t="s">
        <v>801</v>
      </c>
      <c r="L4" s="2117"/>
      <c r="M4" s="2118"/>
      <c r="N4" s="2118"/>
      <c r="O4" s="2118"/>
      <c r="P4" s="3380" t="s">
        <v>802</v>
      </c>
      <c r="Q4" s="3381"/>
      <c r="R4" s="3386" t="s">
        <v>798</v>
      </c>
      <c r="S4" s="3387"/>
      <c r="T4" s="3386" t="s">
        <v>799</v>
      </c>
      <c r="U4" s="3387"/>
      <c r="V4" s="3373" t="s">
        <v>800</v>
      </c>
      <c r="W4" s="3373"/>
      <c r="X4" s="1553"/>
      <c r="Y4" s="3386" t="s">
        <v>802</v>
      </c>
      <c r="Z4" s="3387"/>
      <c r="AA4" s="3375" t="s">
        <v>798</v>
      </c>
      <c r="AB4" s="3376" t="s">
        <v>799</v>
      </c>
      <c r="AC4" s="3375" t="s">
        <v>800</v>
      </c>
    </row>
    <row r="5" spans="1:29" ht="15">
      <c r="A5" s="515"/>
      <c r="B5" s="516"/>
      <c r="C5" s="3394" t="s">
        <v>2923</v>
      </c>
      <c r="D5" s="3395"/>
      <c r="E5" s="3394" t="s">
        <v>2924</v>
      </c>
      <c r="F5" s="3395"/>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396" t="s">
        <v>2927</v>
      </c>
      <c r="F6" s="3397"/>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36" si="3">D8/F8</f>
        <v>#DIV/0!</v>
      </c>
      <c r="AB8" s="1557" t="e">
        <f t="shared" ref="AB8:AB36" si="4">D8/H8</f>
        <v>#DIV/0!</v>
      </c>
      <c r="AC8" s="1557" t="e">
        <f t="shared" ref="AC8:AC36" si="5">D8/J8</f>
        <v>#DIV/0!</v>
      </c>
    </row>
    <row r="9" spans="1:29" s="1216" customFormat="1" ht="15">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2" t="s">
        <v>534</v>
      </c>
      <c r="Q9" s="1147" t="str">
        <f t="shared" ref="Q9:Q14" si="6">B9</f>
        <v>用途</v>
      </c>
      <c r="R9" s="1554" t="s">
        <v>8</v>
      </c>
      <c r="S9" s="1555">
        <f t="shared" si="0"/>
        <v>100</v>
      </c>
      <c r="T9" s="1554" t="s">
        <v>8</v>
      </c>
      <c r="U9" s="1555">
        <f t="shared" si="1"/>
        <v>100</v>
      </c>
      <c r="V9" s="1554" t="s">
        <v>8</v>
      </c>
      <c r="W9" s="1555">
        <f t="shared" si="2"/>
        <v>100</v>
      </c>
      <c r="X9" s="1556"/>
      <c r="Y9" s="3318"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2"/>
      <c r="Q11" s="1147">
        <f t="shared" si="6"/>
        <v>111</v>
      </c>
      <c r="R11" s="1554" t="s">
        <v>8</v>
      </c>
      <c r="S11" s="1555">
        <f t="shared" si="0"/>
        <v>100</v>
      </c>
      <c r="T11" s="1554" t="s">
        <v>8</v>
      </c>
      <c r="U11" s="1555">
        <f t="shared" si="1"/>
        <v>100</v>
      </c>
      <c r="V11" s="1554" t="s">
        <v>8</v>
      </c>
      <c r="W11" s="1555">
        <f t="shared" si="2"/>
        <v>100</v>
      </c>
      <c r="X11" s="1556"/>
      <c r="Y11" s="3318"/>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85.5">
      <c r="A14" s="2864"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408"/>
      <c r="Q15" s="1558"/>
      <c r="R15" s="1559"/>
      <c r="S15" s="1560"/>
      <c r="T15" s="1559"/>
      <c r="U15" s="1560"/>
      <c r="V15" s="1559"/>
      <c r="W15" s="1560"/>
      <c r="X15" s="1553"/>
      <c r="Y15" s="3408"/>
      <c r="Z15" s="1561"/>
      <c r="AA15" s="1562">
        <v>1</v>
      </c>
      <c r="AB15" s="1562">
        <v>1</v>
      </c>
      <c r="AC15" s="1562">
        <v>1</v>
      </c>
    </row>
    <row r="16" spans="1:29" ht="42.75">
      <c r="A16" s="515"/>
      <c r="B16" s="2566"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408"/>
      <c r="Q17" s="1558"/>
      <c r="R17" s="1559"/>
      <c r="S17" s="1560"/>
      <c r="T17" s="1559"/>
      <c r="U17" s="1560"/>
      <c r="V17" s="1559"/>
      <c r="W17" s="1560"/>
      <c r="X17" s="1553"/>
      <c r="Y17" s="3408"/>
      <c r="Z17" s="1561"/>
      <c r="AA17" s="1562">
        <v>1</v>
      </c>
      <c r="AB17" s="1562">
        <v>1</v>
      </c>
      <c r="AC17" s="1562">
        <v>1</v>
      </c>
    </row>
    <row r="18" spans="1:29" ht="28.5">
      <c r="A18" s="515"/>
      <c r="B18" s="2554"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08"/>
      <c r="Q18" s="2542" t="str">
        <f>B18</f>
        <v>基础设施水平</v>
      </c>
      <c r="R18" s="1559" t="s">
        <v>8</v>
      </c>
      <c r="S18" s="1560">
        <f>F18</f>
        <v>100</v>
      </c>
      <c r="T18" s="1559" t="s">
        <v>8</v>
      </c>
      <c r="U18" s="1560">
        <f>H18</f>
        <v>100</v>
      </c>
      <c r="V18" s="1559" t="s">
        <v>8</v>
      </c>
      <c r="W18" s="1560">
        <f>J18</f>
        <v>100</v>
      </c>
      <c r="X18" s="2544"/>
      <c r="Y18" s="3408"/>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408"/>
      <c r="Q19" s="2542"/>
      <c r="R19" s="1559"/>
      <c r="S19" s="1560"/>
      <c r="T19" s="1559"/>
      <c r="U19" s="1560"/>
      <c r="V19" s="1559"/>
      <c r="W19" s="1560"/>
      <c r="X19" s="2544"/>
      <c r="Y19" s="3408"/>
      <c r="Z19" s="2543"/>
      <c r="AA19" s="1562">
        <v>1</v>
      </c>
      <c r="AB19" s="1562">
        <v>1</v>
      </c>
      <c r="AC19" s="1562">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408"/>
      <c r="Q21" s="1558"/>
      <c r="R21" s="1559"/>
      <c r="S21" s="1560"/>
      <c r="T21" s="1559"/>
      <c r="U21" s="1560"/>
      <c r="V21" s="1559"/>
      <c r="W21" s="1560"/>
      <c r="X21" s="1553"/>
      <c r="Y21" s="3408"/>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08"/>
      <c r="Q25" s="1147">
        <f t="shared" si="11"/>
        <v>111</v>
      </c>
      <c r="R25" s="1554" t="s">
        <v>8</v>
      </c>
      <c r="S25" s="1555">
        <f>F25</f>
        <v>100</v>
      </c>
      <c r="T25" s="1554" t="s">
        <v>8</v>
      </c>
      <c r="U25" s="1555">
        <f>H25</f>
        <v>100</v>
      </c>
      <c r="V25" s="1554" t="s">
        <v>8</v>
      </c>
      <c r="W25" s="1555">
        <f>J25</f>
        <v>100</v>
      </c>
      <c r="X25" s="1556"/>
      <c r="Y25" s="3408"/>
      <c r="Z25" s="1146">
        <f>Q25</f>
        <v>111</v>
      </c>
      <c r="AA25" s="1562">
        <f>D25/F25</f>
        <v>1</v>
      </c>
      <c r="AB25" s="1562">
        <f>D25/H25</f>
        <v>1</v>
      </c>
      <c r="AC25" s="1562">
        <f>D25/J25</f>
        <v>1</v>
      </c>
    </row>
    <row r="26" spans="1:29" ht="15">
      <c r="A26" s="2861"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9"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0"/>
      <c r="Q31" s="1147" t="str">
        <f t="shared" si="11"/>
        <v>停车位面积</v>
      </c>
      <c r="R31" s="1554" t="s">
        <v>8</v>
      </c>
      <c r="S31" s="1555" t="e">
        <f t="shared" si="12"/>
        <v>#N/A</v>
      </c>
      <c r="T31" s="1554" t="s">
        <v>8</v>
      </c>
      <c r="U31" s="1555" t="e">
        <f t="shared" si="13"/>
        <v>#N/A</v>
      </c>
      <c r="V31" s="1554" t="s">
        <v>8</v>
      </c>
      <c r="W31" s="1555" t="e">
        <f t="shared" si="14"/>
        <v>#N/A</v>
      </c>
      <c r="X31" s="1556"/>
      <c r="Y31" s="3410"/>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0" t="s">
        <v>549</v>
      </c>
      <c r="Q32" s="1558" t="str">
        <f t="shared" si="11"/>
        <v>车位类型</v>
      </c>
      <c r="R32" s="1559" t="s">
        <v>8</v>
      </c>
      <c r="S32" s="1560">
        <f t="shared" si="12"/>
        <v>100</v>
      </c>
      <c r="T32" s="1559" t="s">
        <v>8</v>
      </c>
      <c r="U32" s="1560">
        <f t="shared" si="13"/>
        <v>100</v>
      </c>
      <c r="V32" s="1559" t="s">
        <v>8</v>
      </c>
      <c r="W32" s="1560">
        <f t="shared" si="14"/>
        <v>100</v>
      </c>
      <c r="X32" s="1553"/>
      <c r="Y32" s="3410"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5">
      <c r="A37" s="1830" t="s">
        <v>2075</v>
      </c>
      <c r="B37" s="1831" t="s">
        <v>2076</v>
      </c>
      <c r="C37" s="2590" t="s">
        <v>1</v>
      </c>
      <c r="D37" s="2591"/>
      <c r="E37" s="2592"/>
      <c r="F37" s="2593"/>
      <c r="G37" s="2594"/>
      <c r="H37" s="2595"/>
      <c r="I37" s="2592"/>
      <c r="J37" s="2595"/>
      <c r="K37" s="1596"/>
      <c r="L37" s="2128"/>
      <c r="M37" s="2129"/>
      <c r="N37" s="2118"/>
      <c r="O37" s="2129"/>
      <c r="P37" s="3372" t="str">
        <f>A37</f>
        <v>成交单价</v>
      </c>
      <c r="Q37" s="3372"/>
      <c r="R37" s="3491">
        <f>E37</f>
        <v>0</v>
      </c>
      <c r="S37" s="3491"/>
      <c r="T37" s="3491">
        <f>G37</f>
        <v>0</v>
      </c>
      <c r="U37" s="3491"/>
      <c r="V37" s="3491">
        <f>I37</f>
        <v>0</v>
      </c>
      <c r="W37" s="3491"/>
      <c r="X37" s="1545"/>
      <c r="Y37" s="1567"/>
      <c r="Z37" s="1545"/>
      <c r="AA37" s="1545"/>
      <c r="AB37" s="1545"/>
      <c r="AC37" s="1545"/>
    </row>
    <row r="38" spans="1:29" ht="15.75" thickBot="1">
      <c r="A38" s="615" t="s">
        <v>2755</v>
      </c>
      <c r="B38" s="888"/>
      <c r="C38" s="2596" t="e">
        <f>R39</f>
        <v>#DIV/0!</v>
      </c>
      <c r="D38" s="2597"/>
      <c r="E38" s="2598" t="e">
        <f>R38</f>
        <v>#DIV/0!</v>
      </c>
      <c r="F38" s="2598"/>
      <c r="G38" s="2596" t="e">
        <f>T38</f>
        <v>#DIV/0!</v>
      </c>
      <c r="H38" s="2597"/>
      <c r="I38" s="2598" t="e">
        <f>V38</f>
        <v>#DIV/0!</v>
      </c>
      <c r="J38" s="2597"/>
      <c r="K38" s="1597"/>
      <c r="L38" s="2128"/>
      <c r="M38" s="2129"/>
      <c r="N38" s="2129"/>
      <c r="O38" s="2129"/>
      <c r="P38" s="3372" t="str">
        <f>A38</f>
        <v>比较价格（元/平方米）</v>
      </c>
      <c r="Q38" s="3372"/>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75" thickBot="1">
      <c r="A39" s="621" t="s">
        <v>2929</v>
      </c>
      <c r="B39" s="622"/>
      <c r="C39" s="2599" t="e">
        <f>R39</f>
        <v>#DIV/0!</v>
      </c>
      <c r="D39" s="2599"/>
      <c r="E39" s="2599"/>
      <c r="F39" s="2599"/>
      <c r="G39" s="2599"/>
      <c r="H39" s="2599"/>
      <c r="I39" s="2599"/>
      <c r="J39" s="2599"/>
      <c r="K39" s="1598"/>
      <c r="L39" s="2128"/>
      <c r="M39" s="2129"/>
      <c r="N39" s="2129"/>
      <c r="O39" s="2129"/>
      <c r="P39" s="3369" t="str">
        <f>A39</f>
        <v>估价对象XX用房的比较价格（楼面单价，元/平方米）</v>
      </c>
      <c r="Q39" s="3370"/>
      <c r="R39" s="3490" t="e">
        <f>IF(F1="售价",ROUND(AVERAGE(R38:V38),0),ROUND(AVERAGE(R38:V38),1))</f>
        <v>#DIV/0!</v>
      </c>
      <c r="S39" s="3490"/>
      <c r="T39" s="3490"/>
      <c r="U39" s="3490"/>
      <c r="V39" s="3490"/>
      <c r="W39" s="3490"/>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528</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78" t="s">
        <v>797</v>
      </c>
      <c r="D4" s="3379"/>
      <c r="E4" s="3414" t="s">
        <v>798</v>
      </c>
      <c r="F4" s="3415"/>
      <c r="G4" s="3378" t="s">
        <v>799</v>
      </c>
      <c r="H4" s="3379"/>
      <c r="I4" s="3378" t="s">
        <v>800</v>
      </c>
      <c r="J4" s="3379"/>
      <c r="K4" s="514" t="s">
        <v>801</v>
      </c>
      <c r="L4" s="2117"/>
      <c r="M4" s="2118"/>
      <c r="N4" s="2118"/>
      <c r="O4" s="2118"/>
      <c r="P4" s="3380" t="s">
        <v>802</v>
      </c>
      <c r="Q4" s="3381"/>
      <c r="R4" s="3386" t="s">
        <v>798</v>
      </c>
      <c r="S4" s="3387"/>
      <c r="T4" s="3386" t="s">
        <v>799</v>
      </c>
      <c r="U4" s="3387"/>
      <c r="V4" s="3373" t="s">
        <v>800</v>
      </c>
      <c r="W4" s="3373"/>
      <c r="X4" s="1553"/>
      <c r="Y4" s="3386" t="s">
        <v>802</v>
      </c>
      <c r="Z4" s="3387"/>
      <c r="AA4" s="3375" t="s">
        <v>798</v>
      </c>
      <c r="AB4" s="3376" t="s">
        <v>799</v>
      </c>
      <c r="AC4" s="3375" t="s">
        <v>800</v>
      </c>
    </row>
    <row r="5" spans="1:29" ht="15">
      <c r="A5" s="515"/>
      <c r="B5" s="516"/>
      <c r="C5" s="3394" t="s">
        <v>2923</v>
      </c>
      <c r="D5" s="3395"/>
      <c r="E5" s="3416" t="s">
        <v>2924</v>
      </c>
      <c r="F5" s="3417"/>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34" si="3">D8/F8</f>
        <v>#DIV/0!</v>
      </c>
      <c r="AB8" s="1557" t="e">
        <f t="shared" ref="AB8:AB34" si="4">D8/H8</f>
        <v>#DIV/0!</v>
      </c>
      <c r="AC8" s="1557" t="e">
        <f t="shared" ref="AC8:AC34" si="5">D8/J8</f>
        <v>#DIV/0!</v>
      </c>
    </row>
    <row r="9" spans="1:29" s="1216" customFormat="1" ht="15">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2" t="s">
        <v>534</v>
      </c>
      <c r="Q9" s="1147" t="str">
        <f t="shared" ref="Q9:Q14" si="6">B9</f>
        <v>用途</v>
      </c>
      <c r="R9" s="1554" t="s">
        <v>8</v>
      </c>
      <c r="S9" s="1555">
        <f t="shared" si="0"/>
        <v>100</v>
      </c>
      <c r="T9" s="1554" t="s">
        <v>8</v>
      </c>
      <c r="U9" s="1555">
        <f t="shared" si="1"/>
        <v>100</v>
      </c>
      <c r="V9" s="1554" t="s">
        <v>8</v>
      </c>
      <c r="W9" s="1555">
        <f t="shared" si="2"/>
        <v>100</v>
      </c>
      <c r="X9" s="1556"/>
      <c r="Y9" s="3318"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2"/>
      <c r="Q11" s="1147">
        <f t="shared" si="6"/>
        <v>111</v>
      </c>
      <c r="R11" s="1554" t="s">
        <v>8</v>
      </c>
      <c r="S11" s="1555">
        <f t="shared" si="0"/>
        <v>100</v>
      </c>
      <c r="T11" s="1554" t="s">
        <v>8</v>
      </c>
      <c r="U11" s="1555">
        <f t="shared" si="1"/>
        <v>100</v>
      </c>
      <c r="V11" s="1554" t="s">
        <v>8</v>
      </c>
      <c r="W11" s="1555">
        <f t="shared" si="2"/>
        <v>100</v>
      </c>
      <c r="X11" s="1556"/>
      <c r="Y11" s="3318"/>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85.5">
      <c r="A14" s="2864"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408"/>
      <c r="Q15" s="1558"/>
      <c r="R15" s="1559"/>
      <c r="S15" s="1560"/>
      <c r="T15" s="1559"/>
      <c r="U15" s="1560"/>
      <c r="V15" s="1559"/>
      <c r="W15" s="1560"/>
      <c r="X15" s="1553"/>
      <c r="Y15" s="3408"/>
      <c r="Z15" s="1561"/>
      <c r="AA15" s="1562">
        <v>1</v>
      </c>
      <c r="AB15" s="1562">
        <v>1</v>
      </c>
      <c r="AC15" s="1562">
        <v>1</v>
      </c>
    </row>
    <row r="16" spans="1:29" ht="42.75">
      <c r="A16" s="532"/>
      <c r="B16" s="2566"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408"/>
      <c r="Q17" s="1558"/>
      <c r="R17" s="1559"/>
      <c r="S17" s="1560"/>
      <c r="T17" s="1559"/>
      <c r="U17" s="1560"/>
      <c r="V17" s="1559"/>
      <c r="W17" s="1560"/>
      <c r="X17" s="1553"/>
      <c r="Y17" s="3408"/>
      <c r="Z17" s="1561"/>
      <c r="AA17" s="1562">
        <v>1</v>
      </c>
      <c r="AB17" s="1562">
        <v>1</v>
      </c>
      <c r="AC17" s="1562">
        <v>1</v>
      </c>
    </row>
    <row r="18" spans="1:29" ht="28.5">
      <c r="A18" s="532"/>
      <c r="B18" s="2554"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08"/>
      <c r="Q18" s="2542" t="str">
        <f>B18</f>
        <v>基础设施水平</v>
      </c>
      <c r="R18" s="1559" t="s">
        <v>8</v>
      </c>
      <c r="S18" s="1560">
        <f>F18</f>
        <v>100</v>
      </c>
      <c r="T18" s="1559" t="s">
        <v>8</v>
      </c>
      <c r="U18" s="1560">
        <f>H18</f>
        <v>100</v>
      </c>
      <c r="V18" s="1559" t="s">
        <v>8</v>
      </c>
      <c r="W18" s="1560">
        <f>J18</f>
        <v>100</v>
      </c>
      <c r="X18" s="2544"/>
      <c r="Y18" s="3408"/>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408"/>
      <c r="Q19" s="2542"/>
      <c r="R19" s="1559"/>
      <c r="S19" s="1560"/>
      <c r="T19" s="1559"/>
      <c r="U19" s="1560"/>
      <c r="V19" s="1559"/>
      <c r="W19" s="1560"/>
      <c r="X19" s="2544"/>
      <c r="Y19" s="3408"/>
      <c r="Z19" s="2543"/>
      <c r="AA19" s="1562">
        <v>1</v>
      </c>
      <c r="AB19" s="1562">
        <v>1</v>
      </c>
      <c r="AC19" s="1562">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408"/>
      <c r="Q21" s="1558"/>
      <c r="R21" s="1559"/>
      <c r="S21" s="1560"/>
      <c r="T21" s="1559"/>
      <c r="U21" s="1560"/>
      <c r="V21" s="1559"/>
      <c r="W21" s="1560"/>
      <c r="X21" s="1553"/>
      <c r="Y21" s="3408"/>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08"/>
      <c r="Q25" s="1147">
        <f t="shared" si="11"/>
        <v>111</v>
      </c>
      <c r="R25" s="1554" t="s">
        <v>8</v>
      </c>
      <c r="S25" s="1555">
        <f>F25</f>
        <v>100</v>
      </c>
      <c r="T25" s="1554" t="s">
        <v>8</v>
      </c>
      <c r="U25" s="1555">
        <f>H25</f>
        <v>100</v>
      </c>
      <c r="V25" s="1554" t="s">
        <v>8</v>
      </c>
      <c r="W25" s="1555">
        <f>J25</f>
        <v>100</v>
      </c>
      <c r="X25" s="1556"/>
      <c r="Y25" s="3408"/>
      <c r="Z25" s="1146">
        <f>Q25</f>
        <v>111</v>
      </c>
      <c r="AA25" s="1562">
        <f>D25/F25</f>
        <v>1</v>
      </c>
      <c r="AB25" s="1562">
        <f>D25/H25</f>
        <v>1</v>
      </c>
      <c r="AC25" s="1562">
        <f>D25/J25</f>
        <v>1</v>
      </c>
    </row>
    <row r="26" spans="1:29" ht="15">
      <c r="A26" s="2861"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09"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0"/>
      <c r="Q31" s="1147" t="str">
        <f t="shared" si="11"/>
        <v>是否封闭</v>
      </c>
      <c r="R31" s="1554" t="s">
        <v>8</v>
      </c>
      <c r="S31" s="1555">
        <f t="shared" si="12"/>
        <v>100</v>
      </c>
      <c r="T31" s="1554" t="s">
        <v>8</v>
      </c>
      <c r="U31" s="1555">
        <f t="shared" si="13"/>
        <v>100</v>
      </c>
      <c r="V31" s="1554" t="s">
        <v>8</v>
      </c>
      <c r="W31" s="1555">
        <f t="shared" si="14"/>
        <v>100</v>
      </c>
      <c r="X31" s="1556"/>
      <c r="Y31" s="3410"/>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0" t="s">
        <v>549</v>
      </c>
      <c r="Q32" s="1558">
        <f t="shared" si="11"/>
        <v>111</v>
      </c>
      <c r="R32" s="1559" t="s">
        <v>8</v>
      </c>
      <c r="S32" s="1560">
        <f t="shared" si="12"/>
        <v>100</v>
      </c>
      <c r="T32" s="1559" t="s">
        <v>8</v>
      </c>
      <c r="U32" s="1560">
        <f t="shared" si="13"/>
        <v>100</v>
      </c>
      <c r="V32" s="1559" t="s">
        <v>8</v>
      </c>
      <c r="W32" s="1560">
        <f t="shared" si="14"/>
        <v>100</v>
      </c>
      <c r="X32" s="1553"/>
      <c r="Y32" s="3410"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5">
      <c r="A35" s="607" t="s">
        <v>735</v>
      </c>
      <c r="B35" s="887"/>
      <c r="C35" s="2590" t="s">
        <v>1</v>
      </c>
      <c r="D35" s="2591"/>
      <c r="E35" s="2592"/>
      <c r="F35" s="2593"/>
      <c r="G35" s="2594"/>
      <c r="H35" s="2595"/>
      <c r="I35" s="2592"/>
      <c r="J35" s="2595"/>
      <c r="K35" s="1596"/>
      <c r="L35" s="2128"/>
      <c r="M35" s="2129"/>
      <c r="N35" s="2118"/>
      <c r="O35" s="2129"/>
      <c r="P35" s="3372" t="str">
        <f>A35</f>
        <v>成交单价（元/平方米）</v>
      </c>
      <c r="Q35" s="3372"/>
      <c r="R35" s="3491">
        <f>E35</f>
        <v>0</v>
      </c>
      <c r="S35" s="3491"/>
      <c r="T35" s="3491">
        <f>G35</f>
        <v>0</v>
      </c>
      <c r="U35" s="3491"/>
      <c r="V35" s="3491">
        <f>I35</f>
        <v>0</v>
      </c>
      <c r="W35" s="3491"/>
      <c r="X35" s="1545"/>
      <c r="Y35" s="1567"/>
      <c r="Z35" s="1545"/>
      <c r="AA35" s="1545"/>
      <c r="AB35" s="1545"/>
      <c r="AC35" s="1545"/>
    </row>
    <row r="36" spans="1:29" ht="15.75" thickBot="1">
      <c r="A36" s="615" t="s">
        <v>2755</v>
      </c>
      <c r="B36" s="888"/>
      <c r="C36" s="2596" t="e">
        <f>R37</f>
        <v>#DIV/0!</v>
      </c>
      <c r="D36" s="2597"/>
      <c r="E36" s="2598" t="e">
        <f>R36</f>
        <v>#DIV/0!</v>
      </c>
      <c r="F36" s="2598"/>
      <c r="G36" s="2596" t="e">
        <f>T36</f>
        <v>#DIV/0!</v>
      </c>
      <c r="H36" s="2597"/>
      <c r="I36" s="2598" t="e">
        <f>V36</f>
        <v>#DIV/0!</v>
      </c>
      <c r="J36" s="2597"/>
      <c r="K36" s="1597"/>
      <c r="L36" s="2128"/>
      <c r="M36" s="2129"/>
      <c r="N36" s="2118"/>
      <c r="O36" s="2129"/>
      <c r="P36" s="3372" t="str">
        <f>A36</f>
        <v>比较价格（元/平方米）</v>
      </c>
      <c r="Q36" s="3372"/>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75" thickBot="1">
      <c r="A37" s="621" t="s">
        <v>2929</v>
      </c>
      <c r="B37" s="622"/>
      <c r="C37" s="2599" t="e">
        <f>R37</f>
        <v>#DIV/0!</v>
      </c>
      <c r="D37" s="2599"/>
      <c r="E37" s="2599"/>
      <c r="F37" s="2599"/>
      <c r="G37" s="2599"/>
      <c r="H37" s="2599"/>
      <c r="I37" s="2599"/>
      <c r="J37" s="2599"/>
      <c r="K37" s="1598"/>
      <c r="L37" s="2128"/>
      <c r="M37" s="2129"/>
      <c r="N37" s="2129"/>
      <c r="O37" s="2129"/>
      <c r="P37" s="3369" t="str">
        <f>A37</f>
        <v>估价对象XX用房的比较价格（楼面单价，元/平方米）</v>
      </c>
      <c r="Q37" s="3370"/>
      <c r="R37" s="3490" t="e">
        <f>IF(F1="售价",ROUND(AVERAGE(R36:V36),0),ROUND(AVERAGE(R36:V36),1))</f>
        <v>#DIV/0!</v>
      </c>
      <c r="S37" s="3490"/>
      <c r="T37" s="3490"/>
      <c r="U37" s="3490"/>
      <c r="V37" s="3490"/>
      <c r="W37" s="3490"/>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3" customFormat="1" ht="15">
      <c r="A46" s="645" t="s">
        <v>528</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国民信托：</v>
      </c>
    </row>
    <row r="4" spans="1:4" ht="37.5">
      <c r="A4" s="1775" t="str">
        <f>"受贵公司委托，我公司对"&amp;项目基本情况!K2&amp;项目基本情况!B9&amp;"进行了预评估。"</f>
        <v>受贵公司委托，我公司对山东省济宁市洸府河以东，红星路以南出让国有建设用地使用权抵押价格进行了预评估。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济宁金讯置业有限公司使用的、位于山东省济宁市洸府河以东，红星路以南出让国有建设用地使用权。根据《国有土地使用证》[]，估价对象（分摊）出让国有建设用地使用权面积为21485平方米。根据《建设工程规划许可证》[]、《出让合同》[]，估价对象规划建筑面积为148301.93平方米。</v>
      </c>
    </row>
    <row r="7" spans="1:4" ht="93.75">
      <c r="A7" s="2827" t="s">
        <v>2743</v>
      </c>
    </row>
    <row r="8" spans="1:4" ht="18.75">
      <c r="A8" s="1778" t="s">
        <v>1905</v>
      </c>
    </row>
    <row r="9" spans="1:4" ht="93.75">
      <c r="A9" s="1780" t="str">
        <f>IF(项目基本情况!B8="抵押",IF(项目基本情况!B5=项目基本情况!B6,定义!C51,定义!B51),定义!D51)</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2019年7月5日（评估专业人员勘察现场之日）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根据《不动产权证书》[鲁（2017）济宁市不动产权第0030929号]，本次评估估价对象证载（地类）用途为商服用地。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根据《国有土地使用证》[]，估价对象（分摊）出让国有建设用地使用权面积为21485平方米。根据《建设工程规划许可证》[]、《出让合同》[]，估价对象规划建筑面积为148301.93平方米。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2744</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8" t="s">
        <v>2301</v>
      </c>
      <c r="C1" s="3500" t="s">
        <v>2302</v>
      </c>
      <c r="D1" s="3501"/>
      <c r="E1" s="3501"/>
      <c r="F1" s="3501"/>
      <c r="G1" s="3501"/>
      <c r="H1" s="3501"/>
      <c r="I1" s="3501"/>
      <c r="J1" s="3501"/>
      <c r="K1" s="3501"/>
      <c r="L1" s="3501"/>
      <c r="M1" s="3501"/>
      <c r="N1" s="3501"/>
      <c r="O1" s="3501"/>
      <c r="P1" s="3501"/>
      <c r="Q1" s="3501"/>
      <c r="R1" s="3501"/>
      <c r="S1" s="3502"/>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2921</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2783</v>
      </c>
      <c r="C1" s="2958">
        <f>项目基本情况!D3</f>
        <v>43651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2814</v>
      </c>
      <c r="C2" s="2959">
        <f>'数据-取费表'!B22</f>
        <v>2.5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topLeftCell="B25" workbookViewId="0">
      <selection activeCell="O45" sqref="O45"/>
    </sheetView>
  </sheetViews>
  <sheetFormatPr defaultRowHeight="13.5"/>
  <cols>
    <col min="1" max="1" width="19.625" customWidth="1"/>
    <col min="6" max="6" width="10.625" customWidth="1"/>
  </cols>
  <sheetData>
    <row r="2" spans="1:14">
      <c r="B2" s="3181" t="s">
        <v>3010</v>
      </c>
      <c r="C2">
        <f>ROUND(C8/6,2)</f>
        <v>7729.6</v>
      </c>
      <c r="D2">
        <v>1</v>
      </c>
      <c r="E2">
        <v>25000</v>
      </c>
      <c r="F2">
        <f>E2*C2</f>
        <v>193240000</v>
      </c>
      <c r="H2">
        <v>3</v>
      </c>
      <c r="I2">
        <f>H2*C2</f>
        <v>23188.800000000003</v>
      </c>
    </row>
    <row r="3" spans="1:14">
      <c r="B3" s="3181" t="s">
        <v>3011</v>
      </c>
      <c r="C3">
        <f>C2</f>
        <v>7729.6</v>
      </c>
      <c r="D3">
        <v>0.7</v>
      </c>
      <c r="E3">
        <f>E2*D3</f>
        <v>17500</v>
      </c>
      <c r="F3">
        <f t="shared" ref="F3:F7" si="0">E3*C3</f>
        <v>135268000</v>
      </c>
      <c r="H3">
        <f>H2*D3</f>
        <v>2.0999999999999996</v>
      </c>
      <c r="I3">
        <f t="shared" ref="I3" si="1">H3*C3</f>
        <v>16232.159999999998</v>
      </c>
    </row>
    <row r="4" spans="1:14">
      <c r="B4" s="3181" t="s">
        <v>3012</v>
      </c>
      <c r="C4">
        <f>C2</f>
        <v>7729.6</v>
      </c>
      <c r="D4">
        <v>0.6</v>
      </c>
      <c r="E4">
        <f>E2*D4</f>
        <v>15000</v>
      </c>
      <c r="F4">
        <f t="shared" si="0"/>
        <v>115944000</v>
      </c>
      <c r="H4">
        <f>H2*D4</f>
        <v>1.7999999999999998</v>
      </c>
      <c r="I4">
        <f>H4*C4</f>
        <v>13913.279999999999</v>
      </c>
    </row>
    <row r="5" spans="1:14">
      <c r="B5" s="3181" t="s">
        <v>3104</v>
      </c>
      <c r="C5">
        <f>C2</f>
        <v>7729.6</v>
      </c>
      <c r="D5">
        <v>0.5</v>
      </c>
      <c r="E5">
        <f>E2*D5</f>
        <v>12500</v>
      </c>
      <c r="F5">
        <f t="shared" si="0"/>
        <v>96620000</v>
      </c>
      <c r="H5">
        <f>H2*D5</f>
        <v>1.5</v>
      </c>
      <c r="I5">
        <f t="shared" ref="I5:I7" si="2">H5*C5</f>
        <v>11594.400000000001</v>
      </c>
    </row>
    <row r="6" spans="1:14">
      <c r="B6" s="3181" t="s">
        <v>3105</v>
      </c>
      <c r="C6">
        <f>C2</f>
        <v>7729.6</v>
      </c>
      <c r="D6">
        <v>0.5</v>
      </c>
      <c r="E6">
        <f>E2*D6</f>
        <v>12500</v>
      </c>
      <c r="F6">
        <f t="shared" si="0"/>
        <v>96620000</v>
      </c>
      <c r="H6">
        <f>H2*D6</f>
        <v>1.5</v>
      </c>
      <c r="I6">
        <f t="shared" si="2"/>
        <v>11594.400000000001</v>
      </c>
    </row>
    <row r="7" spans="1:14">
      <c r="B7" s="3181" t="s">
        <v>3106</v>
      </c>
      <c r="C7">
        <f>C2</f>
        <v>7729.6</v>
      </c>
      <c r="D7">
        <v>0.5</v>
      </c>
      <c r="E7">
        <f>E2*D7</f>
        <v>12500</v>
      </c>
      <c r="F7">
        <f t="shared" si="0"/>
        <v>96620000</v>
      </c>
      <c r="H7">
        <f>H2*D7</f>
        <v>1.5</v>
      </c>
      <c r="I7">
        <f t="shared" si="2"/>
        <v>11594.400000000001</v>
      </c>
    </row>
    <row r="8" spans="1:14">
      <c r="C8">
        <f>'数据-基础表'!I5</f>
        <v>46377.61</v>
      </c>
      <c r="E8">
        <f>F8/C8</f>
        <v>15833.329919329608</v>
      </c>
      <c r="F8">
        <f>SUM(F2:F7)</f>
        <v>734312000</v>
      </c>
      <c r="H8">
        <f>I8/C8</f>
        <v>1.899999590319553</v>
      </c>
      <c r="I8">
        <f>SUM(I2:I7)</f>
        <v>88117.440000000002</v>
      </c>
    </row>
    <row r="10" spans="1:14">
      <c r="A10" s="3182" t="s">
        <v>3013</v>
      </c>
      <c r="B10" s="3182" t="s">
        <v>3014</v>
      </c>
      <c r="C10" s="3182" t="s">
        <v>3015</v>
      </c>
      <c r="D10" s="3182" t="s">
        <v>3016</v>
      </c>
      <c r="E10" s="3182" t="s">
        <v>3017</v>
      </c>
      <c r="F10" s="3182" t="s">
        <v>2030</v>
      </c>
      <c r="G10" s="3182" t="s">
        <v>3018</v>
      </c>
      <c r="H10" s="3182" t="s">
        <v>3019</v>
      </c>
      <c r="I10" s="3182" t="s">
        <v>3020</v>
      </c>
      <c r="J10" s="3182" t="s">
        <v>3021</v>
      </c>
      <c r="K10" s="3182" t="s">
        <v>3022</v>
      </c>
      <c r="L10" s="3182" t="s">
        <v>3023</v>
      </c>
      <c r="M10" s="3182" t="s">
        <v>3024</v>
      </c>
    </row>
    <row r="11" spans="1:14" s="3184" customFormat="1">
      <c r="A11" s="3183" t="s">
        <v>3025</v>
      </c>
      <c r="B11" s="3183" t="s">
        <v>3026</v>
      </c>
      <c r="C11" s="3183" t="s">
        <v>3027</v>
      </c>
      <c r="D11" s="3183">
        <v>30747</v>
      </c>
      <c r="E11" s="3183">
        <v>36896.400000000001</v>
      </c>
      <c r="F11" s="3183" t="s">
        <v>3028</v>
      </c>
      <c r="G11" s="3183" t="s">
        <v>3029</v>
      </c>
      <c r="H11" s="3183" t="s">
        <v>3030</v>
      </c>
      <c r="I11" s="3183">
        <v>8302</v>
      </c>
      <c r="J11" s="3183">
        <v>8302</v>
      </c>
      <c r="K11" s="3183">
        <v>2250.0700000000002</v>
      </c>
      <c r="L11" s="3183">
        <v>0</v>
      </c>
      <c r="M11" s="3183" t="s">
        <v>3031</v>
      </c>
      <c r="N11" s="3184">
        <f>ROUND(J11/D11*10000,0)</f>
        <v>2700</v>
      </c>
    </row>
    <row r="12" spans="1:14" s="3186" customFormat="1">
      <c r="A12" s="3185" t="s">
        <v>3032</v>
      </c>
      <c r="B12" s="3185" t="s">
        <v>3026</v>
      </c>
      <c r="C12" s="3185" t="s">
        <v>3027</v>
      </c>
      <c r="D12" s="3185">
        <v>62543</v>
      </c>
      <c r="E12" s="3185">
        <v>156357.5</v>
      </c>
      <c r="F12" s="3185" t="s">
        <v>3033</v>
      </c>
      <c r="G12" s="3185" t="s">
        <v>3029</v>
      </c>
      <c r="H12" s="3185" t="s">
        <v>3034</v>
      </c>
      <c r="I12" s="3185">
        <v>15636</v>
      </c>
      <c r="J12" s="3185">
        <v>18450</v>
      </c>
      <c r="K12" s="3185">
        <v>1179.99</v>
      </c>
      <c r="L12" s="3185">
        <v>18</v>
      </c>
      <c r="M12" s="3185" t="s">
        <v>3035</v>
      </c>
      <c r="N12" s="3184">
        <f t="shared" ref="N12:N25" si="3">ROUND(J12/D12*10000,0)</f>
        <v>2950</v>
      </c>
    </row>
    <row r="13" spans="1:14" s="3186" customFormat="1">
      <c r="A13" s="3185" t="s">
        <v>3036</v>
      </c>
      <c r="B13" s="3185" t="s">
        <v>3026</v>
      </c>
      <c r="C13" s="3185" t="s">
        <v>3027</v>
      </c>
      <c r="D13" s="3185">
        <v>54578</v>
      </c>
      <c r="E13" s="3185">
        <v>130987.2</v>
      </c>
      <c r="F13" s="3185" t="s">
        <v>3037</v>
      </c>
      <c r="G13" s="3185" t="s">
        <v>3029</v>
      </c>
      <c r="H13" s="3185" t="s">
        <v>3038</v>
      </c>
      <c r="I13" s="3185">
        <v>14409</v>
      </c>
      <c r="J13" s="3185">
        <v>14409</v>
      </c>
      <c r="K13" s="3185">
        <v>1100.02</v>
      </c>
      <c r="L13" s="3185">
        <v>0</v>
      </c>
      <c r="M13" s="3185" t="s">
        <v>3039</v>
      </c>
      <c r="N13" s="3184">
        <f t="shared" si="3"/>
        <v>2640</v>
      </c>
    </row>
    <row r="14" spans="1:14" s="3184" customFormat="1">
      <c r="A14" s="3183" t="s">
        <v>3040</v>
      </c>
      <c r="B14" s="3183" t="s">
        <v>3026</v>
      </c>
      <c r="C14" s="3183" t="s">
        <v>3027</v>
      </c>
      <c r="D14" s="3183">
        <v>12814</v>
      </c>
      <c r="E14" s="3183">
        <v>15376.8</v>
      </c>
      <c r="F14" s="3183" t="s">
        <v>3028</v>
      </c>
      <c r="G14" s="3183" t="s">
        <v>3029</v>
      </c>
      <c r="H14" s="3183" t="s">
        <v>3041</v>
      </c>
      <c r="I14" s="3183">
        <v>2691</v>
      </c>
      <c r="J14" s="3183">
        <v>3060</v>
      </c>
      <c r="K14" s="3183">
        <v>1990</v>
      </c>
      <c r="L14" s="3183">
        <v>13.71</v>
      </c>
      <c r="M14" s="3183" t="s">
        <v>3042</v>
      </c>
      <c r="N14" s="3184">
        <f t="shared" si="3"/>
        <v>2388</v>
      </c>
    </row>
    <row r="15" spans="1:14" s="3184" customFormat="1">
      <c r="A15" s="3183" t="s">
        <v>3043</v>
      </c>
      <c r="B15" s="3183" t="s">
        <v>3026</v>
      </c>
      <c r="C15" s="3183" t="s">
        <v>3027</v>
      </c>
      <c r="D15" s="3183">
        <v>17293</v>
      </c>
      <c r="E15" s="3183">
        <v>20751.599999999999</v>
      </c>
      <c r="F15" s="3183" t="s">
        <v>3028</v>
      </c>
      <c r="G15" s="3183" t="s">
        <v>3029</v>
      </c>
      <c r="H15" s="3183" t="s">
        <v>3041</v>
      </c>
      <c r="I15" s="3183">
        <v>3632</v>
      </c>
      <c r="J15" s="3183">
        <v>4504</v>
      </c>
      <c r="K15" s="3183">
        <v>2170.44</v>
      </c>
      <c r="L15" s="3183">
        <v>24.01</v>
      </c>
      <c r="M15" s="3183" t="s">
        <v>3042</v>
      </c>
      <c r="N15" s="3184">
        <f t="shared" si="3"/>
        <v>2605</v>
      </c>
    </row>
    <row r="16" spans="1:14" s="3184" customFormat="1">
      <c r="A16" s="3183" t="s">
        <v>3044</v>
      </c>
      <c r="B16" s="3183" t="s">
        <v>3026</v>
      </c>
      <c r="C16" s="3183" t="s">
        <v>3027</v>
      </c>
      <c r="D16" s="3183">
        <v>57973</v>
      </c>
      <c r="E16" s="3183">
        <v>115946</v>
      </c>
      <c r="F16" s="3183" t="s">
        <v>3045</v>
      </c>
      <c r="G16" s="3183" t="s">
        <v>3029</v>
      </c>
      <c r="H16" s="3183" t="s">
        <v>3046</v>
      </c>
      <c r="I16" s="3183">
        <v>23190</v>
      </c>
      <c r="J16" s="3183">
        <v>23190</v>
      </c>
      <c r="K16" s="3183">
        <v>2000.06</v>
      </c>
      <c r="L16" s="3183">
        <v>0</v>
      </c>
      <c r="M16" s="3183" t="s">
        <v>3047</v>
      </c>
      <c r="N16" s="3184">
        <f t="shared" si="3"/>
        <v>4000</v>
      </c>
    </row>
    <row r="17" spans="1:14" s="3186" customFormat="1">
      <c r="A17" s="3185" t="s">
        <v>3048</v>
      </c>
      <c r="B17" s="3185" t="s">
        <v>3026</v>
      </c>
      <c r="C17" s="3185" t="s">
        <v>3027</v>
      </c>
      <c r="D17" s="3185">
        <v>79179</v>
      </c>
      <c r="E17" s="3185">
        <v>158358</v>
      </c>
      <c r="F17" s="3185" t="s">
        <v>3045</v>
      </c>
      <c r="G17" s="3185" t="s">
        <v>3029</v>
      </c>
      <c r="H17" s="3185" t="s">
        <v>3049</v>
      </c>
      <c r="I17" s="3185">
        <v>21458</v>
      </c>
      <c r="J17" s="3185">
        <v>21458</v>
      </c>
      <c r="K17" s="3185">
        <v>1355.02</v>
      </c>
      <c r="L17" s="3185">
        <v>0</v>
      </c>
      <c r="M17" s="3185" t="s">
        <v>3050</v>
      </c>
      <c r="N17" s="3184">
        <f t="shared" si="3"/>
        <v>2710</v>
      </c>
    </row>
    <row r="18" spans="1:14">
      <c r="A18" s="3182" t="s">
        <v>3051</v>
      </c>
      <c r="B18" s="3182" t="s">
        <v>3026</v>
      </c>
      <c r="C18" s="3182" t="s">
        <v>3027</v>
      </c>
      <c r="D18" s="3182">
        <v>8055</v>
      </c>
      <c r="E18" s="3182">
        <v>6444</v>
      </c>
      <c r="F18" s="3182" t="s">
        <v>3052</v>
      </c>
      <c r="G18" s="3182" t="s">
        <v>3029</v>
      </c>
      <c r="H18" s="3182" t="s">
        <v>3053</v>
      </c>
      <c r="I18" s="3182">
        <v>3912</v>
      </c>
      <c r="J18" s="3182">
        <v>7939</v>
      </c>
      <c r="K18" s="3182">
        <v>12319.98</v>
      </c>
      <c r="L18" s="3182">
        <v>102.94</v>
      </c>
      <c r="M18" s="3182" t="s">
        <v>3054</v>
      </c>
      <c r="N18" s="3184">
        <f t="shared" si="3"/>
        <v>9856</v>
      </c>
    </row>
    <row r="19" spans="1:14" s="3184" customFormat="1">
      <c r="A19" s="3183" t="s">
        <v>3055</v>
      </c>
      <c r="B19" s="3183" t="s">
        <v>3026</v>
      </c>
      <c r="C19" s="3183" t="s">
        <v>3027</v>
      </c>
      <c r="D19" s="3183">
        <v>2897</v>
      </c>
      <c r="E19" s="3183">
        <v>1158.8</v>
      </c>
      <c r="F19" s="3183" t="s">
        <v>3056</v>
      </c>
      <c r="G19" s="3183" t="s">
        <v>3029</v>
      </c>
      <c r="H19" s="3183" t="s">
        <v>3057</v>
      </c>
      <c r="I19" s="3183">
        <v>233</v>
      </c>
      <c r="J19" s="3183">
        <v>233</v>
      </c>
      <c r="K19" s="3183">
        <v>2010.7</v>
      </c>
      <c r="L19" s="3183">
        <v>0</v>
      </c>
      <c r="M19" s="3183" t="s">
        <v>3058</v>
      </c>
      <c r="N19" s="3184">
        <f t="shared" si="3"/>
        <v>804</v>
      </c>
    </row>
    <row r="20" spans="1:14">
      <c r="A20" s="3182" t="s">
        <v>3059</v>
      </c>
      <c r="B20" s="3182" t="s">
        <v>3026</v>
      </c>
      <c r="C20" s="3182" t="s">
        <v>3027</v>
      </c>
      <c r="D20" s="3182">
        <v>48879</v>
      </c>
      <c r="E20" s="3182">
        <v>58654.8</v>
      </c>
      <c r="F20" s="3182" t="s">
        <v>3028</v>
      </c>
      <c r="G20" s="3182" t="s">
        <v>3029</v>
      </c>
      <c r="H20" s="3182" t="s">
        <v>3060</v>
      </c>
      <c r="I20" s="3182">
        <v>5974</v>
      </c>
      <c r="J20" s="3182">
        <v>5974</v>
      </c>
      <c r="K20" s="3182">
        <v>1018.5</v>
      </c>
      <c r="L20" s="3182">
        <v>0</v>
      </c>
      <c r="M20" s="3182" t="s">
        <v>3061</v>
      </c>
      <c r="N20" s="3184">
        <f t="shared" si="3"/>
        <v>1222</v>
      </c>
    </row>
    <row r="21" spans="1:14" s="3186" customFormat="1">
      <c r="A21" s="3185" t="s">
        <v>3062</v>
      </c>
      <c r="B21" s="3185" t="s">
        <v>3026</v>
      </c>
      <c r="C21" s="3185" t="s">
        <v>3027</v>
      </c>
      <c r="D21" s="3185">
        <v>17722</v>
      </c>
      <c r="E21" s="3185">
        <v>35444</v>
      </c>
      <c r="F21" s="3185" t="s">
        <v>3045</v>
      </c>
      <c r="G21" s="3185" t="s">
        <v>3029</v>
      </c>
      <c r="H21" s="3185" t="s">
        <v>3060</v>
      </c>
      <c r="I21" s="3185">
        <v>4785</v>
      </c>
      <c r="J21" s="3185">
        <v>4785</v>
      </c>
      <c r="K21" s="3185">
        <v>1350.01</v>
      </c>
      <c r="L21" s="3185">
        <v>0</v>
      </c>
      <c r="M21" s="3185" t="s">
        <v>3063</v>
      </c>
      <c r="N21" s="3186">
        <f t="shared" si="3"/>
        <v>2700</v>
      </c>
    </row>
    <row r="22" spans="1:14" s="3192" customFormat="1">
      <c r="A22" s="3191" t="s">
        <v>3064</v>
      </c>
      <c r="B22" s="3191" t="s">
        <v>3026</v>
      </c>
      <c r="C22" s="3191" t="s">
        <v>3027</v>
      </c>
      <c r="D22" s="3191">
        <v>28971</v>
      </c>
      <c r="E22" s="3191">
        <v>101398.5</v>
      </c>
      <c r="F22" s="3191" t="s">
        <v>3065</v>
      </c>
      <c r="G22" s="3191" t="s">
        <v>3029</v>
      </c>
      <c r="H22" s="3191" t="s">
        <v>3066</v>
      </c>
      <c r="I22" s="3191">
        <v>8692</v>
      </c>
      <c r="J22" s="3191">
        <v>8692</v>
      </c>
      <c r="K22" s="3191">
        <v>857.21</v>
      </c>
      <c r="L22" s="3191">
        <v>0</v>
      </c>
      <c r="M22" s="3191" t="s">
        <v>3067</v>
      </c>
      <c r="N22" s="3184">
        <f t="shared" si="3"/>
        <v>3000</v>
      </c>
    </row>
    <row r="23" spans="1:14">
      <c r="A23" s="3182" t="s">
        <v>3068</v>
      </c>
      <c r="B23" s="3182" t="s">
        <v>3026</v>
      </c>
      <c r="C23" s="3182" t="s">
        <v>3027</v>
      </c>
      <c r="D23" s="3182">
        <v>13025</v>
      </c>
      <c r="E23" s="3182">
        <v>22142.5</v>
      </c>
      <c r="F23" s="3182" t="s">
        <v>3069</v>
      </c>
      <c r="G23" s="3182" t="s">
        <v>3029</v>
      </c>
      <c r="H23" s="3182" t="s">
        <v>3070</v>
      </c>
      <c r="I23" s="3182">
        <v>3127</v>
      </c>
      <c r="J23" s="3182">
        <v>3177</v>
      </c>
      <c r="K23" s="3182">
        <v>1434.79</v>
      </c>
      <c r="L23" s="3182">
        <v>1.6</v>
      </c>
      <c r="M23" s="3182" t="s">
        <v>3071</v>
      </c>
      <c r="N23" s="3184">
        <f t="shared" si="3"/>
        <v>2439</v>
      </c>
    </row>
    <row r="24" spans="1:14">
      <c r="A24" s="3182" t="s">
        <v>3072</v>
      </c>
      <c r="B24" s="3182" t="s">
        <v>3026</v>
      </c>
      <c r="C24" s="3182" t="s">
        <v>3027</v>
      </c>
      <c r="D24" s="3182">
        <v>32297</v>
      </c>
      <c r="E24" s="3182">
        <v>83972.2</v>
      </c>
      <c r="F24" s="3182" t="s">
        <v>3073</v>
      </c>
      <c r="G24" s="3182" t="s">
        <v>3029</v>
      </c>
      <c r="H24" s="3182" t="s">
        <v>3074</v>
      </c>
      <c r="I24" s="3182" t="s">
        <v>2813</v>
      </c>
      <c r="J24" s="3182">
        <v>5522</v>
      </c>
      <c r="K24" s="3182">
        <v>657.6</v>
      </c>
      <c r="L24" s="3182" t="s">
        <v>2813</v>
      </c>
      <c r="M24" s="3182" t="s">
        <v>3075</v>
      </c>
      <c r="N24" s="3184">
        <f t="shared" si="3"/>
        <v>1710</v>
      </c>
    </row>
    <row r="25" spans="1:14">
      <c r="A25" s="3182" t="s">
        <v>3076</v>
      </c>
      <c r="B25" s="3182" t="s">
        <v>3026</v>
      </c>
      <c r="C25" s="3182" t="s">
        <v>3027</v>
      </c>
      <c r="D25" s="3182">
        <v>9532</v>
      </c>
      <c r="E25" s="3182">
        <v>20017.2</v>
      </c>
      <c r="F25" s="3182" t="s">
        <v>3077</v>
      </c>
      <c r="G25" s="3182" t="s">
        <v>3029</v>
      </c>
      <c r="H25" s="3182" t="s">
        <v>3074</v>
      </c>
      <c r="I25" s="3182">
        <v>1383</v>
      </c>
      <c r="J25" s="3182">
        <v>1383</v>
      </c>
      <c r="K25" s="3182">
        <v>690.9</v>
      </c>
      <c r="L25" s="3182">
        <v>0</v>
      </c>
      <c r="M25" s="3182" t="s">
        <v>3078</v>
      </c>
      <c r="N25" s="3184">
        <f t="shared" si="3"/>
        <v>1451</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2036</v>
      </c>
      <c r="B1" s="3205"/>
      <c r="C1" s="3205"/>
      <c r="D1" s="3205"/>
      <c r="E1" s="3205"/>
      <c r="F1" s="3205"/>
      <c r="G1" s="3205"/>
      <c r="H1" s="3205"/>
      <c r="I1" s="3205"/>
      <c r="J1" s="3205"/>
      <c r="K1" s="3205"/>
      <c r="L1" s="3205"/>
      <c r="M1" s="3205"/>
      <c r="N1" s="3205"/>
      <c r="O1" s="3205"/>
      <c r="P1" s="3205"/>
      <c r="Q1" s="3205"/>
      <c r="R1" s="3205"/>
    </row>
    <row r="2" spans="1:18">
      <c r="A2" s="1791" t="s">
        <v>2038</v>
      </c>
      <c r="B2" s="1791"/>
      <c r="C2" s="1791"/>
      <c r="D2" s="1791"/>
      <c r="E2" s="1791"/>
      <c r="F2" s="1791"/>
      <c r="G2" s="1791"/>
      <c r="H2" s="1791"/>
      <c r="I2" s="1792"/>
      <c r="J2" s="1792"/>
      <c r="K2" s="1793" t="str">
        <f>"估价期日："&amp;TEXT(项目基本情况!D3,"yyyy年m月d日;;")</f>
        <v>估价期日：2019年7月5日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6" t="s">
        <v>2027</v>
      </c>
      <c r="B3" s="3206" t="s">
        <v>2726</v>
      </c>
      <c r="C3" s="3207" t="s">
        <v>2028</v>
      </c>
      <c r="D3" s="3206" t="s">
        <v>2730</v>
      </c>
      <c r="E3" s="3209" t="s">
        <v>2029</v>
      </c>
      <c r="F3" s="3209"/>
      <c r="G3" s="3209"/>
      <c r="H3" s="3209" t="s">
        <v>2030</v>
      </c>
      <c r="I3" s="3209"/>
      <c r="J3" s="3209"/>
      <c r="K3" s="3207" t="s">
        <v>2031</v>
      </c>
      <c r="L3" s="3207" t="s">
        <v>2032</v>
      </c>
      <c r="M3" s="3206" t="s">
        <v>2727</v>
      </c>
      <c r="N3" s="3208" t="str">
        <f>"（分摊）"&amp;项目基本情况!B16&amp;"国有建设用地使用权面积/㎡"</f>
        <v>（分摊）出让国有建设用地使用权面积/㎡</v>
      </c>
      <c r="O3" s="3206" t="s">
        <v>2061</v>
      </c>
      <c r="P3" s="3207" t="s">
        <v>2041</v>
      </c>
      <c r="Q3" s="3207" t="s">
        <v>2062</v>
      </c>
      <c r="R3" s="3207" t="s">
        <v>2033</v>
      </c>
    </row>
    <row r="4" spans="1:18" ht="36.75" customHeight="1">
      <c r="A4" s="3206"/>
      <c r="B4" s="3206"/>
      <c r="C4" s="3207"/>
      <c r="D4" s="3206"/>
      <c r="E4" s="2612" t="s">
        <v>2040</v>
      </c>
      <c r="F4" s="2612" t="s">
        <v>2739</v>
      </c>
      <c r="G4" s="2612" t="s">
        <v>2034</v>
      </c>
      <c r="H4" s="2612" t="s">
        <v>2035</v>
      </c>
      <c r="I4" s="2612" t="s">
        <v>2740</v>
      </c>
      <c r="J4" s="2612" t="s">
        <v>2034</v>
      </c>
      <c r="K4" s="3207"/>
      <c r="L4" s="3207"/>
      <c r="M4" s="3206"/>
      <c r="N4" s="3208"/>
      <c r="O4" s="3206"/>
      <c r="P4" s="3207"/>
      <c r="Q4" s="3207"/>
      <c r="R4" s="3207"/>
    </row>
    <row r="5" spans="1:18" ht="135" customHeight="1">
      <c r="A5" s="1927" t="s">
        <v>2650</v>
      </c>
      <c r="B5" s="2821" t="s">
        <v>2648</v>
      </c>
      <c r="C5" s="2611">
        <v>22</v>
      </c>
      <c r="D5" s="2610" t="s">
        <v>2649</v>
      </c>
      <c r="E5" s="1794" t="str">
        <f>项目基本情况!B12</f>
        <v>商服用地</v>
      </c>
      <c r="F5" s="2610">
        <v>258</v>
      </c>
      <c r="G5" s="1794" t="str">
        <f>项目基本情况!B13</f>
        <v>商业、办公</v>
      </c>
      <c r="H5" s="2610">
        <v>1.5</v>
      </c>
      <c r="I5" s="2610">
        <v>1.5</v>
      </c>
      <c r="J5" s="2610">
        <v>1.5</v>
      </c>
      <c r="K5" s="1794" t="str">
        <f>"红线外"&amp;项目基本情况!T40&amp;"、宗地红线内"&amp;项目基本情况!B35</f>
        <v>红线外五通、宗地红线内场地平整</v>
      </c>
      <c r="L5" s="1794" t="str">
        <f>"红线外"&amp;项目基本情况!T40&amp;"、宗地红线内场地"&amp;项目基本情况!D36</f>
        <v>红线外五通、宗地红线内场地平整</v>
      </c>
      <c r="M5" s="1794">
        <f>IF(项目基本情况!B16="出让",项目基本情况!D20,"——")</f>
        <v>0</v>
      </c>
      <c r="N5" s="1794">
        <f>项目基本情况!C22</f>
        <v>21485</v>
      </c>
      <c r="O5" s="1794">
        <f>项目基本情况!C21</f>
        <v>148301.93</v>
      </c>
      <c r="P5" s="1794">
        <f ca="1">结果表!E42</f>
        <v>5632</v>
      </c>
      <c r="Q5" s="1794">
        <f ca="1">结果表!D42</f>
        <v>816</v>
      </c>
      <c r="R5" s="1795">
        <f ca="1">结果表!C42</f>
        <v>12101</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6">
        <f ca="1">结果表!O39</f>
        <v>12101</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6" t="str">
        <f>结果表!O40</f>
        <v>——</v>
      </c>
    </row>
    <row r="8" spans="1:18">
      <c r="A8" s="3210" t="str">
        <f>IF(项目基本情况!B9="市场价格","——",项目基本情况!E9)</f>
        <v>抵押净值</v>
      </c>
      <c r="B8" s="3211"/>
      <c r="C8" s="3211"/>
      <c r="D8" s="3211"/>
      <c r="E8" s="3211"/>
      <c r="F8" s="3211"/>
      <c r="G8" s="3211"/>
      <c r="H8" s="3211"/>
      <c r="I8" s="3211"/>
      <c r="J8" s="3211"/>
      <c r="K8" s="3211"/>
      <c r="L8" s="3211"/>
      <c r="M8" s="3211"/>
      <c r="N8" s="3211"/>
      <c r="O8" s="3211"/>
      <c r="P8" s="3211"/>
      <c r="Q8" s="3212"/>
      <c r="R8" s="1796">
        <f ca="1">结果表!O41</f>
        <v>10887</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4" t="s">
        <v>2063</v>
      </c>
      <c r="B1" s="3214"/>
      <c r="C1" s="3214"/>
      <c r="D1" s="3214"/>
    </row>
    <row r="2" spans="1:4" ht="47.25" customHeight="1">
      <c r="A2" s="3215" t="str">
        <f>"1.权利限制："&amp;项目基本情况!L24&amp;"未设定租赁等其他他项权利。"</f>
        <v>1.权利限制：根据估价对象《不动产权证书》原件、，截至估价期日，估价对象抵押权未见登记。未设定租赁等其他他项权利。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2064</v>
      </c>
      <c r="B5" s="3213"/>
      <c r="C5" s="3213"/>
      <c r="D5" s="3213"/>
    </row>
    <row r="6" spans="1:4">
      <c r="A6" s="3214" t="s">
        <v>2042</v>
      </c>
      <c r="B6" s="3214"/>
      <c r="C6" s="3214"/>
      <c r="D6" s="3214"/>
    </row>
    <row r="7" spans="1:4" ht="33" customHeight="1">
      <c r="A7" s="3214" t="s">
        <v>2570</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（1）根据估价对象《不动产权证书》原件、，截至估价期日，估价对象抵押权未见登记。</v>
      </c>
      <c r="B11" s="3216"/>
      <c r="C11" s="3216"/>
      <c r="D11" s="3216"/>
    </row>
    <row r="12" spans="1:4" ht="168" customHeight="1">
      <c r="A12" s="3213" t="s">
        <v>2066</v>
      </c>
      <c r="B12" s="3213"/>
      <c r="C12" s="3213"/>
      <c r="D12" s="3213"/>
    </row>
    <row r="13" spans="1:4">
      <c r="A13" s="3217" t="s">
        <v>2741</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2697</v>
      </c>
      <c r="B17" s="3214"/>
      <c r="C17" s="3214"/>
      <c r="D17" s="3214"/>
    </row>
    <row r="18" spans="1:4">
      <c r="A18" s="3214" t="s">
        <v>2689</v>
      </c>
      <c r="B18" s="3214"/>
      <c r="C18" s="3214"/>
      <c r="D18" s="3214"/>
    </row>
    <row r="19" spans="1:4">
      <c r="A19" s="2822" t="s">
        <v>2690</v>
      </c>
      <c r="B19" s="2822" t="s">
        <v>2691</v>
      </c>
      <c r="C19" s="2822" t="s">
        <v>2692</v>
      </c>
      <c r="D19" s="2822" t="s">
        <v>2693</v>
      </c>
    </row>
    <row r="20" spans="1:4">
      <c r="A20" s="2822" t="str">
        <f>项目基本情况!B4</f>
        <v>王鹏</v>
      </c>
      <c r="B20" s="2822">
        <f ca="1">项目基本情况!C4</f>
        <v>2002110030</v>
      </c>
      <c r="C20" s="2824"/>
      <c r="D20" s="1784" t="s">
        <v>2698</v>
      </c>
    </row>
    <row r="21" spans="1:4">
      <c r="A21" s="2822" t="str">
        <f>项目基本情况!D4</f>
        <v>赵雯</v>
      </c>
      <c r="B21" s="2822">
        <f ca="1">项目基本情况!E4</f>
        <v>2011110090</v>
      </c>
      <c r="C21" s="2824"/>
      <c r="D21" s="1784" t="s">
        <v>2699</v>
      </c>
    </row>
    <row r="23" spans="1:4">
      <c r="A23" s="3214" t="s">
        <v>2694</v>
      </c>
      <c r="B23" s="3214"/>
      <c r="C23" s="3214"/>
      <c r="D23" s="3214"/>
    </row>
    <row r="24" spans="1:4">
      <c r="A24" s="2822" t="s">
        <v>2690</v>
      </c>
      <c r="B24" s="2822" t="s">
        <v>2695</v>
      </c>
      <c r="C24" s="2822" t="s">
        <v>2692</v>
      </c>
      <c r="D24" s="2822" t="s">
        <v>2693</v>
      </c>
    </row>
    <row r="25" spans="1:4">
      <c r="A25" s="2825" t="s">
        <v>2696</v>
      </c>
      <c r="B25" s="2822" t="s">
        <v>951</v>
      </c>
      <c r="C25" s="2824"/>
      <c r="D25" s="1784" t="s">
        <v>2699</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5" t="s">
        <v>53</v>
      </c>
      <c r="B15" s="3226" t="s">
        <v>845</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836</v>
      </c>
    </row>
    <row r="25" spans="1:3" ht="14.25">
      <c r="A25" s="3224"/>
      <c r="B25" s="3228"/>
      <c r="C25" s="1172" t="s">
        <v>837</v>
      </c>
    </row>
    <row r="26" spans="1:3" ht="14.25">
      <c r="A26" s="3224"/>
      <c r="B26" s="3228"/>
      <c r="C26" s="1172" t="s">
        <v>838</v>
      </c>
    </row>
    <row r="27" spans="1:3" ht="14.25">
      <c r="A27" s="3224"/>
      <c r="B27" s="3228"/>
      <c r="C27" s="1172" t="s">
        <v>839</v>
      </c>
    </row>
    <row r="28" spans="1:3" ht="14.25">
      <c r="A28" s="3224"/>
      <c r="B28" s="3228"/>
      <c r="C28" s="1172" t="s">
        <v>840</v>
      </c>
    </row>
    <row r="29" spans="1:3" ht="14.25">
      <c r="A29" s="3224"/>
      <c r="B29" s="3228"/>
      <c r="C29" s="1172" t="s">
        <v>841</v>
      </c>
    </row>
    <row r="30" spans="1:3" ht="14.25">
      <c r="A30" s="3224"/>
      <c r="B30" s="3228"/>
      <c r="C30" s="1172" t="s">
        <v>842</v>
      </c>
    </row>
    <row r="31" spans="1:3" ht="14.25">
      <c r="A31" s="3224"/>
      <c r="B31" s="3228"/>
      <c r="C31" s="1172" t="s">
        <v>843</v>
      </c>
    </row>
    <row r="32" spans="1:3" ht="14.25">
      <c r="A32" s="3224"/>
      <c r="B32" s="3228"/>
      <c r="C32" s="1172" t="s">
        <v>1645</v>
      </c>
    </row>
    <row r="33" spans="1:3" ht="14.25">
      <c r="A33" s="3224"/>
      <c r="B33" s="3218" t="s">
        <v>1651</v>
      </c>
      <c r="C33" s="1172" t="s">
        <v>1646</v>
      </c>
    </row>
    <row r="34" spans="1:3" ht="14.25">
      <c r="A34" s="3224"/>
      <c r="B34" s="3219"/>
      <c r="C34" s="1177" t="s">
        <v>1647</v>
      </c>
    </row>
    <row r="35" spans="1:3" ht="14.25">
      <c r="A35" s="3224"/>
      <c r="B35" s="3219"/>
      <c r="C35" s="1178" t="s">
        <v>1648</v>
      </c>
    </row>
    <row r="36" spans="1:3" ht="14.25">
      <c r="A36" s="3224"/>
      <c r="B36" s="3219"/>
      <c r="C36" s="1178" t="s">
        <v>1649</v>
      </c>
    </row>
    <row r="37" spans="1:3" ht="14.25">
      <c r="A37" s="3224"/>
      <c r="B37" s="322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43658</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2974</v>
      </c>
      <c r="B14" s="3131">
        <f ca="1">IF(C14&lt;B2,"已过期",1120040230)</f>
        <v>1120040230</v>
      </c>
      <c r="C14" s="3135">
        <v>43835</v>
      </c>
      <c r="D14" s="3136" t="s">
        <v>2975</v>
      </c>
      <c r="E14" s="3131">
        <f ca="1">IF(F14&lt;B2,"已过期",98030020)</f>
        <v>98030020</v>
      </c>
      <c r="F14" s="3134">
        <v>47118</v>
      </c>
    </row>
    <row r="15" spans="1:6" ht="20.25" customHeight="1">
      <c r="A15" s="3131" t="s">
        <v>2569</v>
      </c>
      <c r="B15" s="3131">
        <f ca="1">IF(C15&lt;B2,"已过期",1120070085)</f>
        <v>1120070085</v>
      </c>
      <c r="C15" s="3135">
        <v>43814</v>
      </c>
      <c r="D15" s="3131" t="s">
        <v>2976</v>
      </c>
      <c r="E15" s="3131">
        <f ca="1">IF(F15&lt;B2,"已过期",2004110128)</f>
        <v>2004110128</v>
      </c>
      <c r="F15" s="3137">
        <v>47118</v>
      </c>
    </row>
    <row r="16" spans="1:6" ht="20.25" customHeight="1">
      <c r="A16" s="3131" t="s">
        <v>1922</v>
      </c>
      <c r="B16" s="3131">
        <f ca="1">IF(C16&lt;B2,"已过期",1120140022)</f>
        <v>1120140022</v>
      </c>
      <c r="C16" s="3133">
        <v>44029</v>
      </c>
      <c r="D16" s="3131" t="s">
        <v>2977</v>
      </c>
      <c r="E16" s="3131">
        <f ca="1">IF(F16&lt;B2,"已过期",2008110059)</f>
        <v>2008110059</v>
      </c>
      <c r="F16" s="3134">
        <v>47177</v>
      </c>
    </row>
    <row r="17" spans="1:7" ht="20.25" customHeight="1">
      <c r="A17" s="3131"/>
      <c r="B17" s="3131"/>
      <c r="C17" s="3133"/>
      <c r="D17" s="3136" t="s">
        <v>2978</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2051</v>
      </c>
      <c r="B24" s="3130" t="s">
        <v>2051</v>
      </c>
      <c r="C24" s="3133"/>
      <c r="D24" s="3138" t="s">
        <v>2051</v>
      </c>
      <c r="E24" s="3130" t="s">
        <v>2051</v>
      </c>
      <c r="F24" s="3137"/>
    </row>
    <row r="25" spans="1:7" ht="20.25" customHeight="1">
      <c r="A25" s="3229" t="s">
        <v>1925</v>
      </c>
      <c r="B25" s="3229"/>
      <c r="C25" s="3229"/>
      <c r="D25" s="3229"/>
      <c r="E25" s="3229"/>
      <c r="F25" s="3229"/>
      <c r="G25" s="3229"/>
    </row>
    <row r="26" spans="1:7" ht="20.25" customHeight="1">
      <c r="A26" s="3230" t="s">
        <v>1926</v>
      </c>
      <c r="B26" s="3230"/>
      <c r="C26" s="3230"/>
      <c r="D26" s="3230" t="s">
        <v>1927</v>
      </c>
      <c r="E26" s="3230"/>
      <c r="F26" s="3230"/>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2987</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4"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2535</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2536</v>
      </c>
      <c r="S3" s="9" t="s">
        <v>84</v>
      </c>
      <c r="T3" s="9" t="s">
        <v>85</v>
      </c>
      <c r="U3" s="9" t="s">
        <v>84</v>
      </c>
      <c r="V3" s="9" t="s">
        <v>86</v>
      </c>
      <c r="W3" s="9" t="s">
        <v>875</v>
      </c>
    </row>
    <row r="4" spans="1:23">
      <c r="A4" s="8" t="s">
        <v>87</v>
      </c>
      <c r="B4" s="8" t="s">
        <v>152</v>
      </c>
      <c r="C4" s="1537"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2537</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6" t="s">
        <v>545</v>
      </c>
      <c r="Q5" s="9" t="s">
        <v>97</v>
      </c>
      <c r="R5" s="1006" t="s">
        <v>2538</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2539</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2948</v>
      </c>
      <c r="C18" s="1540"/>
    </row>
    <row r="19" spans="1:3">
      <c r="A19" s="8" t="s">
        <v>120</v>
      </c>
      <c r="B19" s="3063" t="s">
        <v>2956</v>
      </c>
      <c r="C19" s="1540"/>
    </row>
    <row r="20" spans="1:3">
      <c r="A20" s="8" t="s">
        <v>121</v>
      </c>
      <c r="B20" s="8" t="s">
        <v>3107</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1"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c r="D53" s="1751"/>
      <c r="E53" s="1751"/>
    </row>
    <row r="54" spans="1:5">
      <c r="A54" s="3231"/>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1"/>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1"/>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1"/>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2019-07-12T01:24:28Z</dcterms:modified>
</cp:coreProperties>
</file>