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5" i="9" l="1"/>
  <c r="I37" i="21"/>
  <c r="G37" i="21"/>
  <c r="E37" i="21"/>
  <c r="C33" i="21"/>
  <c r="C5" i="21"/>
  <c r="I5" i="21"/>
  <c r="G5" i="21"/>
  <c r="I11" i="21"/>
  <c r="G11" i="21"/>
  <c r="E11" i="21"/>
  <c r="B42" i="1"/>
  <c r="E13" i="1"/>
  <c r="E17" i="1"/>
  <c r="AH5" i="59" l="1"/>
  <c r="AG5" i="59"/>
  <c r="AE5" i="59"/>
  <c r="AF5" i="59" s="1"/>
  <c r="AD5" i="59"/>
  <c r="Q5" i="59"/>
  <c r="P5" i="59"/>
  <c r="O5" i="59"/>
  <c r="N5" i="59"/>
  <c r="B18" i="1" l="1"/>
  <c r="D15" i="48" l="1"/>
  <c r="C31" i="58" l="1"/>
  <c r="C30" i="58"/>
  <c r="I1" i="4" l="1"/>
  <c r="F61" i="57" l="1"/>
  <c r="F59" i="9"/>
  <c r="E61" i="57" l="1"/>
  <c r="K42" i="40"/>
  <c r="K47" i="39"/>
  <c r="K36" i="36"/>
  <c r="K38" i="35"/>
  <c r="K42" i="37"/>
  <c r="K49" i="34"/>
  <c r="K48" i="33"/>
  <c r="K48" i="21"/>
  <c r="E59" i="9" l="1"/>
  <c r="B14" i="62" l="1"/>
  <c r="A14" i="55"/>
  <c r="I108" i="57" l="1"/>
  <c r="I106" i="9"/>
  <c r="AH6" i="59" l="1"/>
  <c r="AG6" i="59"/>
  <c r="AE6" i="59"/>
  <c r="AF6" i="59" s="1"/>
  <c r="AD6" i="59"/>
  <c r="Q6" i="59"/>
  <c r="AB5" i="59" s="1"/>
  <c r="P6" i="59"/>
  <c r="AA5" i="59" s="1"/>
  <c r="O6" i="59"/>
  <c r="Y5" i="59" s="1"/>
  <c r="Z5" i="59" s="1"/>
  <c r="N6" i="59"/>
  <c r="X5" i="59" s="1"/>
  <c r="V8" i="59" l="1"/>
  <c r="U8" i="59"/>
  <c r="T8" i="59"/>
  <c r="S8" i="59"/>
  <c r="AH7" i="59" l="1"/>
  <c r="AG7" i="59"/>
  <c r="AE7" i="59"/>
  <c r="AF7" i="59" s="1"/>
  <c r="AD7" i="59"/>
  <c r="Q7" i="59"/>
  <c r="AB6" i="59" s="1"/>
  <c r="P7" i="59"/>
  <c r="AA6" i="59" s="1"/>
  <c r="O7" i="59"/>
  <c r="Y6" i="59" s="1"/>
  <c r="Z6" i="59" s="1"/>
  <c r="N7" i="59"/>
  <c r="X6" i="59" s="1"/>
  <c r="O9" i="59" l="1"/>
  <c r="N9" i="59"/>
  <c r="AH8" i="59"/>
  <c r="AG8" i="59"/>
  <c r="AE8" i="59"/>
  <c r="AF8" i="59" s="1"/>
  <c r="AD8" i="59"/>
  <c r="Q8" i="59"/>
  <c r="AB7" i="59" s="1"/>
  <c r="Q9" i="59"/>
  <c r="AB8" i="59"/>
  <c r="P8" i="59"/>
  <c r="AA7" i="59" s="1"/>
  <c r="P9" i="59"/>
  <c r="AA8" i="59"/>
  <c r="O8" i="59"/>
  <c r="Y7" i="59" s="1"/>
  <c r="Z7" i="59" s="1"/>
  <c r="N8" i="59"/>
  <c r="X7" i="59" s="1"/>
  <c r="F9" i="59"/>
  <c r="F8" i="59"/>
  <c r="F7" i="59" s="1"/>
  <c r="F6" i="59" s="1"/>
  <c r="F5" i="59" s="1"/>
  <c r="E9" i="59"/>
  <c r="E8" i="59"/>
  <c r="E7" i="59" s="1"/>
  <c r="E6" i="59" s="1"/>
  <c r="E5" i="59" s="1"/>
  <c r="C9" i="59"/>
  <c r="B9" i="59"/>
  <c r="B8" i="59"/>
  <c r="B7" i="59" s="1"/>
  <c r="B6" i="59" s="1"/>
  <c r="B5" i="59" s="1"/>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s="1"/>
  <c r="K3" i="59"/>
  <c r="AG3" i="59" s="1"/>
  <c r="J3" i="59"/>
  <c r="AE3" i="59" s="1"/>
  <c r="I3" i="59"/>
  <c r="AD3" i="59" s="1"/>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 i="1"/>
  <c r="F30" i="1" s="1"/>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s="1"/>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s="1"/>
  <c r="Q28" i="21"/>
  <c r="Z28" i="21" s="1"/>
  <c r="Q29" i="21"/>
  <c r="Z29" i="21" s="1"/>
  <c r="Q30" i="21"/>
  <c r="Z30" i="21" s="1"/>
  <c r="Q31" i="21"/>
  <c r="Z31" i="21" s="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F43" i="21"/>
  <c r="S43" i="21"/>
  <c r="H38" i="21"/>
  <c r="U38" i="21"/>
  <c r="H43" i="21"/>
  <c r="AB43" i="21"/>
  <c r="F38" i="21"/>
  <c r="F36" i="21"/>
  <c r="S36" i="21"/>
  <c r="F39" i="21"/>
  <c r="S39" i="21"/>
  <c r="H35" i="21"/>
  <c r="AB35" i="21"/>
  <c r="J8" i="21"/>
  <c r="AC8" i="21" s="1"/>
  <c r="J9" i="21"/>
  <c r="W9" i="21" s="1"/>
  <c r="H8" i="21"/>
  <c r="U8" i="21" s="1"/>
  <c r="H9" i="21"/>
  <c r="AB9" i="21" s="1"/>
  <c r="H10" i="21"/>
  <c r="AB10" i="21" s="1"/>
  <c r="H36" i="21"/>
  <c r="U36" i="21"/>
  <c r="F35" i="21"/>
  <c r="AA35" i="21"/>
  <c r="J33" i="21"/>
  <c r="W33" i="21" s="1"/>
  <c r="H33" i="21"/>
  <c r="AB33" i="21" s="1"/>
  <c r="F33" i="21"/>
  <c r="AA33" i="21" s="1"/>
  <c r="J10" i="21"/>
  <c r="AC10" i="21" s="1"/>
  <c r="H26" i="21"/>
  <c r="AB26" i="21" s="1"/>
  <c r="F19" i="21"/>
  <c r="AA19" i="21"/>
  <c r="H19" i="21"/>
  <c r="AB19" i="21"/>
  <c r="J19" i="21"/>
  <c r="W19" i="2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s="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E101" i="43"/>
  <c r="E109" i="43" s="1"/>
  <c r="C101" i="43"/>
  <c r="C104" i="43" s="1"/>
  <c r="N101" i="43"/>
  <c r="N107" i="43" s="1"/>
  <c r="L101" i="43"/>
  <c r="L109" i="43" s="1"/>
  <c r="J101" i="43"/>
  <c r="J102" i="43" s="1"/>
  <c r="H101" i="43"/>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81" i="43" s="1"/>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S28" i="21"/>
  <c r="AB21" i="21"/>
  <c r="U21" i="21"/>
  <c r="AC19" i="21"/>
  <c r="U17"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C6" i="43" s="1"/>
  <c r="M5"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H107" i="43"/>
  <c r="G105"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A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E3" i="4"/>
  <c r="B5" i="55" s="1"/>
  <c r="B55" i="60" s="1"/>
  <c r="C7" i="43"/>
  <c r="C3" i="4"/>
  <c r="B4" i="55" s="1"/>
  <c r="B53" i="60" s="1"/>
  <c r="L106" i="9"/>
  <c r="A18" i="55"/>
  <c r="B48" i="60" s="1"/>
  <c r="J22" i="43"/>
  <c r="M84" i="43"/>
  <c r="N84" i="43"/>
  <c r="K84" i="43"/>
  <c r="J84" i="43"/>
  <c r="D84" i="43"/>
  <c r="M81" i="43"/>
  <c r="N81" i="43"/>
  <c r="K81" i="43"/>
  <c r="J81" i="43"/>
  <c r="D81" i="43"/>
  <c r="M88" i="43"/>
  <c r="N88" i="43"/>
  <c r="K88" i="43"/>
  <c r="J88" i="43"/>
  <c r="D88" i="43"/>
  <c r="I114" i="57"/>
  <c r="N51" i="57" s="1"/>
  <c r="B41" i="1"/>
  <c r="M27" i="15" s="1"/>
  <c r="C11" i="12"/>
  <c r="C15" i="12" s="1"/>
  <c r="C14" i="15"/>
  <c r="C18" i="15" s="1"/>
  <c r="E81" i="43"/>
  <c r="B79" i="43"/>
  <c r="C13" i="12"/>
  <c r="C36" i="11"/>
  <c r="D118" i="57"/>
  <c r="D119" i="57"/>
  <c r="I115" i="57" s="1"/>
  <c r="D132" i="57" s="1"/>
  <c r="D134" i="57"/>
  <c r="D130" i="9"/>
  <c r="D13" i="52"/>
  <c r="N46" i="9"/>
  <c r="H59" i="43"/>
  <c r="H67" i="43"/>
  <c r="H9" i="44"/>
  <c r="H7" i="44"/>
  <c r="H10" i="44"/>
  <c r="N12" i="43"/>
  <c r="N4" i="43"/>
  <c r="M7" i="43"/>
  <c r="N1" i="43"/>
  <c r="M10" i="43"/>
  <c r="M2" i="43"/>
  <c r="H15" i="44"/>
  <c r="H64" i="43"/>
  <c r="H61" i="43"/>
  <c r="H5" i="44"/>
  <c r="N10" i="43"/>
  <c r="N2" i="43"/>
  <c r="N11" i="43"/>
  <c r="N9" i="43"/>
  <c r="M4" i="43"/>
  <c r="N5" i="43"/>
  <c r="N3" i="43"/>
  <c r="M9" i="43"/>
  <c r="E17" i="43"/>
  <c r="N17" i="43"/>
  <c r="L17" i="43"/>
  <c r="O17" i="43"/>
  <c r="M17" i="43"/>
  <c r="J1" i="61"/>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s="1"/>
  <c r="K61" i="57" s="1"/>
  <c r="K63" i="57" s="1"/>
  <c r="N58" i="57"/>
  <c r="K56" i="9"/>
  <c r="K57" i="9" s="1"/>
  <c r="K59" i="9" s="1"/>
  <c r="K61" i="9" s="1"/>
  <c r="L58" i="57"/>
  <c r="D131" i="57"/>
  <c r="F13" i="59"/>
  <c r="F12" i="59"/>
  <c r="C13" i="59"/>
  <c r="C12" i="59"/>
  <c r="T12" i="59"/>
  <c r="X3" i="59"/>
  <c r="Y3" i="59"/>
  <c r="Z3" i="59" s="1"/>
  <c r="D13" i="59"/>
  <c r="F48" i="43"/>
  <c r="H50" i="43" s="1"/>
  <c r="G4" i="47"/>
  <c r="S16" i="59"/>
  <c r="B15" i="59"/>
  <c r="B14" i="59"/>
  <c r="B13" i="59"/>
  <c r="B12" i="59"/>
  <c r="S12" i="59"/>
  <c r="V12" i="59"/>
  <c r="AC30" i="35"/>
  <c r="AB30" i="35"/>
  <c r="U30" i="35"/>
  <c r="D12" i="59"/>
  <c r="D11" i="59"/>
  <c r="I116" i="57"/>
  <c r="D133" i="57" s="1"/>
  <c r="I14" i="62" s="1"/>
  <c r="B8" i="62" s="1"/>
  <c r="D120" i="57"/>
  <c r="D10" i="59"/>
  <c r="I114" i="9"/>
  <c r="D129" i="9" s="1"/>
  <c r="D12" i="52" s="1"/>
  <c r="I112" i="9"/>
  <c r="D39" i="50" s="1"/>
  <c r="D40" i="50" s="1"/>
  <c r="D116" i="9"/>
  <c r="D114" i="9"/>
  <c r="D115" i="9"/>
  <c r="I113" i="9" s="1"/>
  <c r="N49" i="9"/>
  <c r="M67" i="9" s="1"/>
  <c r="N67" i="9" s="1"/>
  <c r="D42" i="50"/>
  <c r="D43" i="50" s="1"/>
  <c r="D18" i="50"/>
  <c r="B31" i="60" s="1"/>
  <c r="D20" i="57"/>
  <c r="F7" i="61"/>
  <c r="D5" i="61"/>
  <c r="F4" i="61"/>
  <c r="D4" i="61"/>
  <c r="E2" i="35"/>
  <c r="E2" i="37"/>
  <c r="F6" i="61"/>
  <c r="C19" i="57"/>
  <c r="D19" i="57"/>
  <c r="E2" i="34"/>
  <c r="E2" i="21"/>
  <c r="C20" i="57"/>
  <c r="D3" i="61"/>
  <c r="D6" i="61"/>
  <c r="E2" i="33"/>
  <c r="F3" i="61"/>
  <c r="F5" i="61"/>
  <c r="D7" i="61"/>
  <c r="H23" i="31"/>
  <c r="E2" i="36"/>
  <c r="E2" i="11"/>
  <c r="U33" i="21" l="1"/>
  <c r="AB32" i="21"/>
  <c r="AA32" i="21"/>
  <c r="AA26" i="21"/>
  <c r="U26" i="21"/>
  <c r="S27" i="21"/>
  <c r="AB29" i="21"/>
  <c r="AC27" i="21"/>
  <c r="AB25" i="21"/>
  <c r="U9" i="21"/>
  <c r="W8" i="21"/>
  <c r="U10" i="21"/>
  <c r="S10" i="21"/>
  <c r="W10" i="21"/>
  <c r="C16" i="15"/>
  <c r="E70" i="43"/>
  <c r="B68" i="43" s="1"/>
  <c r="C24" i="43" s="1"/>
  <c r="D116" i="43"/>
  <c r="E116" i="43" s="1"/>
  <c r="F116" i="43" s="1"/>
  <c r="G116" i="43" s="1"/>
  <c r="H116" i="43" s="1"/>
  <c r="B116" i="43"/>
  <c r="C116" i="43" s="1"/>
  <c r="B117" i="43"/>
  <c r="C117" i="43" s="1"/>
  <c r="C105" i="43"/>
  <c r="K103" i="43"/>
  <c r="D105" i="43"/>
  <c r="L104" i="43"/>
  <c r="K106" i="43"/>
  <c r="B20" i="60"/>
  <c r="C18" i="50"/>
  <c r="H66" i="43"/>
  <c r="H60" i="43"/>
  <c r="H62" i="43"/>
  <c r="G26" i="47"/>
  <c r="F70" i="43"/>
  <c r="G37" i="47"/>
  <c r="H85" i="43"/>
  <c r="H81" i="43"/>
  <c r="H84" i="43"/>
  <c r="H87" i="43"/>
  <c r="H82" i="43"/>
  <c r="H83" i="43"/>
  <c r="H88" i="43"/>
  <c r="H86" i="43"/>
  <c r="L108" i="57"/>
  <c r="H51" i="43"/>
  <c r="H54" i="43"/>
  <c r="AA8" i="37"/>
  <c r="AC8" i="37"/>
  <c r="AC36" i="37"/>
  <c r="S36" i="37"/>
  <c r="S30" i="37"/>
  <c r="W31" i="37"/>
  <c r="AA29" i="37"/>
  <c r="D68" i="39"/>
  <c r="E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33" i="11" s="1"/>
  <c r="C79" i="57"/>
  <c r="C76" i="57" s="1"/>
  <c r="C48" i="11"/>
  <c r="C24" i="12"/>
  <c r="C29" i="12" s="1"/>
  <c r="D28" i="12" s="1"/>
  <c r="C77" i="9"/>
  <c r="C30" i="11"/>
  <c r="C74" i="9"/>
  <c r="G52" i="37"/>
  <c r="H52" i="37" s="1"/>
  <c r="I52" i="37" s="1"/>
  <c r="J52" i="37" s="1"/>
  <c r="K52" i="37" s="1"/>
  <c r="L52" i="37" s="1"/>
  <c r="M52" i="37" s="1"/>
  <c r="N52" i="37" s="1"/>
  <c r="O52" i="37" s="1"/>
  <c r="H7" i="37"/>
  <c r="AB7" i="37" s="1"/>
  <c r="T42" i="37" s="1"/>
  <c r="G42" i="37" s="1"/>
  <c r="G46" i="37" s="1"/>
  <c r="H46" i="37" s="1"/>
  <c r="C32" i="15"/>
  <c r="J18" i="15"/>
  <c r="F31" i="15"/>
  <c r="Q59"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C8" i="59"/>
  <c r="C7" i="59" s="1"/>
  <c r="B5" i="48"/>
  <c r="D5" i="48" s="1"/>
  <c r="F7" i="48"/>
  <c r="H7" i="48" s="1"/>
  <c r="F11" i="48"/>
  <c r="H11" i="48" s="1"/>
  <c r="B12" i="48"/>
  <c r="D12" i="48" s="1"/>
  <c r="D8" i="59"/>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K1" i="61"/>
  <c r="E20" i="43"/>
  <c r="G20" i="57"/>
  <c r="C105" i="57" s="1"/>
  <c r="C104" i="57"/>
  <c r="D104" i="57"/>
  <c r="G1" i="61"/>
  <c r="C30" i="12" l="1"/>
  <c r="C28" i="12" s="1"/>
  <c r="C106" i="57"/>
  <c r="H70" i="43"/>
  <c r="H76" i="43"/>
  <c r="H78" i="43"/>
  <c r="H75" i="43"/>
  <c r="H73" i="43"/>
  <c r="D7" i="62"/>
  <c r="C7" i="62"/>
  <c r="U7" i="37"/>
  <c r="C50" i="15"/>
  <c r="F60" i="15"/>
  <c r="B23" i="31"/>
  <c r="R25" i="31"/>
  <c r="AC7" i="33"/>
  <c r="V48" i="33" s="1"/>
  <c r="I48" i="33" s="1"/>
  <c r="I52" i="33" s="1"/>
  <c r="J52" i="33" s="1"/>
  <c r="D113" i="43"/>
  <c r="D65" i="40"/>
  <c r="E63" i="40"/>
  <c r="AA7" i="37"/>
  <c r="R42" i="37" s="1"/>
  <c r="R43" i="37" s="1"/>
  <c r="L49" i="15"/>
  <c r="I20" i="43"/>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7" i="59"/>
  <c r="C6" i="59"/>
  <c r="C19" i="43"/>
  <c r="P24" i="43"/>
  <c r="B66" i="40" s="1"/>
  <c r="P21" i="43"/>
  <c r="B71" i="39" s="1"/>
  <c r="P23" i="43"/>
  <c r="P22" i="43"/>
  <c r="E27" i="1"/>
  <c r="P28" i="43"/>
  <c r="N28" i="43"/>
  <c r="M28" i="43"/>
  <c r="G20" i="43" s="1"/>
  <c r="E41" i="43" s="1"/>
  <c r="C41" i="43" s="1"/>
  <c r="O28" i="43"/>
  <c r="F11" i="15"/>
  <c r="M11" i="15"/>
  <c r="J10" i="15" s="1"/>
  <c r="J5" i="15" s="1"/>
  <c r="C20" i="43" l="1"/>
  <c r="C29" i="43" s="1"/>
  <c r="C6" i="11" s="1"/>
  <c r="C7" i="11" s="1"/>
  <c r="C5" i="11" s="1"/>
  <c r="C20" i="11" s="1"/>
  <c r="C28" i="11" s="1"/>
  <c r="C27" i="11" s="1"/>
  <c r="D6" i="59"/>
  <c r="C5" i="59"/>
  <c r="D5" i="59"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C39" i="43"/>
  <c r="G39" i="43" s="1"/>
  <c r="I39" i="43" s="1"/>
  <c r="T12" i="43"/>
  <c r="V12" i="43" s="1"/>
  <c r="C33" i="43"/>
  <c r="C38" i="43"/>
  <c r="C35" i="43"/>
  <c r="C10" i="15"/>
  <c r="C5" i="15" s="1"/>
  <c r="C54" i="15"/>
  <c r="C49" i="15" s="1"/>
  <c r="J24" i="15"/>
  <c r="J26" i="15"/>
  <c r="F22" i="11"/>
  <c r="F41" i="11" s="1"/>
  <c r="F24" i="15"/>
  <c r="F25" i="12"/>
  <c r="C36" i="43" l="1"/>
  <c r="T6" i="43"/>
  <c r="V6" i="43" s="1"/>
  <c r="T5" i="43"/>
  <c r="V5" i="43" s="1"/>
  <c r="T13" i="43"/>
  <c r="V13" i="43" s="1"/>
  <c r="T4" i="43"/>
  <c r="V4" i="43" s="1"/>
  <c r="T3" i="43"/>
  <c r="V3" i="43" s="1"/>
  <c r="T14" i="43"/>
  <c r="V14" i="43" s="1"/>
  <c r="T8" i="43"/>
  <c r="V8" i="43" s="1"/>
  <c r="T7" i="43"/>
  <c r="V7" i="43" s="1"/>
  <c r="C34" i="43"/>
  <c r="E34" i="43" s="1"/>
  <c r="T9" i="43"/>
  <c r="V9" i="43" s="1"/>
  <c r="T11" i="43"/>
  <c r="V11" i="43" s="1"/>
  <c r="T10" i="43"/>
  <c r="V10" i="43" s="1"/>
  <c r="C37" i="43"/>
  <c r="E37" i="43" s="1"/>
  <c r="T15" i="43"/>
  <c r="V15" i="43" s="1"/>
  <c r="T16" i="43"/>
  <c r="V16"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G37" i="43"/>
  <c r="I37" i="43" s="1"/>
  <c r="E35" i="43"/>
  <c r="G35" i="43"/>
  <c r="I35" i="43" s="1"/>
  <c r="E33" i="43"/>
  <c r="G33" i="43"/>
  <c r="I33"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27" i="43" l="1"/>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61" i="57" l="1"/>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82" i="57" l="1"/>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O61" i="57" l="1"/>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19" i="9"/>
  <c r="C19" i="9"/>
  <c r="D20" i="9"/>
  <c r="D102" i="9" l="1"/>
  <c r="D101" i="9"/>
  <c r="C101" i="9"/>
  <c r="D22" i="9"/>
  <c r="G19" i="9"/>
  <c r="B3" i="21"/>
  <c r="L65" i="40"/>
  <c r="M63" i="40"/>
  <c r="AA7" i="39"/>
  <c r="R47" i="39" s="1"/>
  <c r="R48" i="39" s="1"/>
  <c r="S7" i="39"/>
  <c r="M59" i="34"/>
  <c r="N59" i="34" s="1"/>
  <c r="O59" i="34" s="1"/>
  <c r="H7" i="34" s="1"/>
  <c r="F7" i="34"/>
  <c r="AB7" i="39"/>
  <c r="U7" i="39"/>
  <c r="AC7" i="39"/>
  <c r="W7" i="39"/>
  <c r="L58" i="15"/>
  <c r="L61" i="15" s="1"/>
  <c r="Q64" i="15" s="1"/>
  <c r="Q73" i="15" s="1"/>
  <c r="D34" i="9"/>
  <c r="C20" i="9"/>
  <c r="C102" i="9" l="1"/>
  <c r="G20" i="9"/>
  <c r="C32" i="9" s="1"/>
  <c r="C35" i="9" s="1"/>
  <c r="C34" i="9" s="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AC7" i="34" l="1"/>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I54" i="34" l="1"/>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F122" i="9" s="1"/>
  <c r="F5" i="52" s="1"/>
  <c r="B42" i="60" s="1"/>
  <c r="I121" i="9"/>
  <c r="D107" i="9" s="1"/>
  <c r="G4" i="52" l="1"/>
  <c r="B41" i="60" s="1"/>
  <c r="D121" i="9"/>
  <c r="D4" i="52" s="1"/>
  <c r="B37" i="60" s="1"/>
  <c r="I103" i="9"/>
  <c r="D122" i="9"/>
  <c r="D5" i="52" s="1"/>
  <c r="B39" i="60" s="1"/>
  <c r="F4" i="52"/>
  <c r="B40" i="60" s="1"/>
  <c r="I4" i="52"/>
  <c r="H121" i="9"/>
  <c r="D14" i="62" s="1"/>
  <c r="C104" i="9"/>
  <c r="E14" i="62" l="1"/>
  <c r="B5" i="62"/>
  <c r="F14" i="62"/>
  <c r="C103" i="9"/>
  <c r="D106" i="9"/>
  <c r="D112" i="9" s="1"/>
  <c r="H4" i="52"/>
  <c r="H122" i="9"/>
  <c r="H5" i="52" s="1"/>
  <c r="I102" i="9"/>
  <c r="D30" i="50"/>
  <c r="D9" i="50"/>
  <c r="B21" i="60" s="1"/>
  <c r="C5" i="62" l="1"/>
  <c r="D5" i="62"/>
  <c r="D113" i="9"/>
  <c r="D117" i="9"/>
  <c r="N48" i="9"/>
  <c r="D45" i="9"/>
  <c r="D7" i="50"/>
  <c r="D28" i="50"/>
  <c r="D29" i="50" s="1"/>
  <c r="I110" i="9"/>
  <c r="D36" i="50" l="1"/>
  <c r="D37" i="50" s="1"/>
  <c r="D15" i="50"/>
  <c r="D125" i="9"/>
  <c r="D52" i="9"/>
  <c r="C78" i="9"/>
  <c r="C73" i="9" s="1"/>
  <c r="C85" i="9"/>
  <c r="C93" i="9"/>
  <c r="C86" i="9" s="1"/>
  <c r="C72" i="9"/>
  <c r="D53" i="9"/>
  <c r="D48" i="9" s="1"/>
  <c r="N52" i="9" s="1"/>
  <c r="O57" i="9" s="1"/>
  <c r="C64" i="9"/>
  <c r="C63" i="9" s="1"/>
  <c r="C67" i="9" s="1"/>
  <c r="C68" i="9" s="1"/>
  <c r="D54" i="9" s="1"/>
  <c r="D44" i="50"/>
  <c r="I115" i="9"/>
  <c r="D23" i="50" s="1"/>
  <c r="B34" i="60" s="1"/>
  <c r="B19" i="60"/>
  <c r="D8" i="50"/>
  <c r="B22" i="60" s="1"/>
  <c r="D38" i="50"/>
  <c r="B62" i="60" s="1"/>
  <c r="I111" i="9"/>
  <c r="D8" i="52" l="1"/>
  <c r="G14" i="62"/>
  <c r="B6" i="62" s="1"/>
  <c r="D126" i="9"/>
  <c r="D9" i="52" s="1"/>
  <c r="D17" i="50"/>
  <c r="C79" i="9"/>
  <c r="C95" i="9"/>
  <c r="B29" i="60"/>
  <c r="D16" i="50"/>
  <c r="B30" i="60" s="1"/>
  <c r="Q57" i="9"/>
  <c r="O59" i="9"/>
  <c r="O58" i="9"/>
  <c r="D6" i="62" l="1"/>
  <c r="C6" i="62"/>
  <c r="O60" i="9"/>
  <c r="O61" i="9"/>
  <c r="C96" i="9"/>
  <c r="E96" i="9" s="1"/>
  <c r="E97" i="9" s="1"/>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<sst xmlns="http://schemas.openxmlformats.org/spreadsheetml/2006/main" count="6808" uniqueCount="2918">
  <si>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</si>
  <si>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</si>
  <si>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</si>
  <si>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</si>
  <si>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</si>
  <si>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</si>
  <si>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</si>
  <si>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</si>
  <si>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</si>
  <si>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</si>
  <si>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</si>
  <si>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</si>
  <si>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</si>
  <si>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</si>
  <si>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</si>
  <si>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</si>
  <si>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</si>
  <si>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</si>
  <si>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</si>
  <si>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</si>
  <si>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</si>
  <si>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</si>
  <si>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</si>
  <si>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</si>
  <si>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</si>
  <si>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</si>
  <si>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</si>
  <si>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</si>
  <si>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</si>
  <si>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</si>
  <si>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</si>
  <si>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</si>
  <si>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</si>
  <si>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</si>
  <si>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</si>
  <si>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</si>
  <si>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</si>
  <si>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</si>
  <si>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</si>
  <si>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</si>
  <si>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</si>
  <si>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</si>
  <si>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</si>
  <si>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</si>
  <si>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</si>
  <si>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</si>
  <si>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</si>
  <si>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</si>
  <si>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</si>
  <si>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</si>
  <si>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</si>
  <si>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</si>
  <si>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</si>
  <si>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</si>
  <si>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</si>
  <si>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</si>
  <si>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</si>
  <si>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</si>
  <si>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</si>
  <si>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</si>
  <si>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</si>
  <si>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</si>
  <si>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</si>
  <si>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</si>
  <si>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</si>
  <si>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</si>
  <si>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</si>
  <si>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</si>
  <si>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</si>
  <si>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</si>
  <si>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</si>
  <si>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</si>
  <si>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</si>
  <si>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</si>
  <si>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</si>
  <si>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</si>
  <si>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</si>
  <si>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</si>
  <si>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</si>
  <si>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</si>
  <si>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</si>
  <si>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</si>
  <si>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</si>
  <si>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</si>
  <si>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</si>
  <si>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</si>
  <si>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</si>
  <si>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</si>
  <si>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</si>
  <si>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</si>
  <si>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</si>
  <si>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</si>
  <si>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</si>
  <si>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</si>
  <si>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</si>
  <si>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</si>
  <si>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</si>
  <si>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</si>
  <si>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</si>
  <si>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</si>
  <si>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</si>
  <si>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</si>
  <si>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</si>
  <si>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</si>
  <si>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</si>
  <si>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</si>
  <si>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</si>
  <si>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</si>
  <si>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</si>
  <si>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</si>
  <si>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</si>
  <si>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</si>
  <si>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</si>
  <si>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</si>
  <si>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</si>
  <si>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</si>
  <si>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</si>
  <si>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</si>
  <si>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</si>
  <si>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</si>
  <si>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</si>
  <si>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</si>
  <si>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</si>
  <si>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</si>
  <si>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</si>
  <si>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</si>
  <si>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</si>
  <si>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</si>
  <si>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</si>
  <si>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</si>
  <si>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</si>
  <si>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</si>
  <si>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</si>
  <si>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</si>
  <si>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</si>
  <si>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</si>
  <si>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</si>
  <si>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</si>
  <si>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</si>
  <si>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</si>
  <si>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</si>
  <si>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</si>
  <si>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</si>
  <si>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</si>
  <si>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</si>
  <si>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</si>
  <si>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</si>
  <si>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</si>
  <si>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</si>
  <si>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</si>
  <si>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</si>
  <si>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</si>
  <si>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</si>
  <si>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</si>
  <si>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</si>
  <si>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</si>
  <si>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</si>
  <si>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</si>
  <si>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</si>
  <si>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</si>
  <si>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</si>
  <si>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</si>
  <si>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</si>
  <si>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</si>
  <si>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</si>
  <si>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</si>
  <si>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</si>
  <si>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</si>
  <si>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</si>
  <si>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</si>
  <si>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</si>
  <si>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</si>
  <si>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</si>
  <si>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</si>
  <si>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</si>
  <si>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</si>
  <si>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</si>
  <si>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</si>
  <si>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</si>
  <si>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</si>
  <si>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</si>
  <si>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</si>
  <si>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</si>
  <si>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</si>
  <si>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</si>
  <si>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</si>
  <si>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</si>
  <si>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</si>
  <si>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</si>
  <si>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</si>
  <si>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</si>
  <si>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</si>
  <si>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</si>
  <si>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</si>
  <si>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</si>
  <si>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</si>
  <si>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</si>
  <si>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</si>
  <si>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</si>
  <si>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</si>
  <si>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</si>
  <si>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</si>
  <si>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</si>
  <si>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</si>
  <si>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</si>
  <si>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</si>
  <si>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</si>
  <si>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</si>
  <si>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</si>
  <si>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</si>
  <si>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</si>
  <si>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</si>
  <si>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</si>
  <si>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</si>
  <si>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</si>
  <si>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</si>
  <si>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</si>
  <si>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</si>
  <si>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</si>
  <si>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</si>
  <si>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</si>
  <si>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</si>
  <si>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</si>
  <si>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</si>
  <si>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</si>
  <si>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</si>
  <si>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</si>
  <si>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</si>
  <si>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</si>
  <si>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</si>
  <si>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</si>
  <si>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</si>
  <si>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</si>
  <si>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</si>
  <si>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</si>
  <si>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</si>
  <si>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</si>
  <si>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</si>
  <si>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</si>
  <si>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</si>
  <si>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</si>
  <si>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</si>
  <si>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</si>
  <si>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</si>
  <si>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</si>
  <si>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</si>
  <si>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</si>
  <si>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</si>
  <si>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</si>
  <si>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</si>
  <si>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</si>
  <si>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</si>
  <si>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</si>
  <si>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</si>
  <si>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</si>
  <si>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</si>
  <si>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</si>
  <si>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</si>
  <si>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</si>
  <si>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</si>
  <si>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</si>
  <si>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</si>
  <si>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</si>
  <si>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</si>
  <si>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</si>
  <si>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</si>
  <si>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</si>
  <si>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</si>
  <si>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</si>
  <si>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</si>
  <si>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</si>
  <si>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</si>
  <si>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</si>
  <si>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</si>
  <si>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</si>
  <si>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</si>
  <si>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</si>
  <si>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</si>
  <si>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</si>
  <si>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</si>
  <si>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</si>
  <si>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</si>
  <si>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</si>
  <si>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</si>
  <si>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</si>
  <si>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</si>
  <si>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</si>
  <si>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</si>
  <si>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</si>
  <si>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</si>
  <si>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</si>
  <si>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</si>
  <si>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</si>
  <si>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</si>
  <si>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</si>
  <si>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</si>
  <si>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</si>
  <si>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</si>
  <si>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</si>
  <si>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</si>
  <si>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</si>
  <si>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</si>
  <si>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</si>
  <si>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</si>
  <si>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</si>
  <si>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</si>
  <si>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</si>
  <si>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</si>
  <si>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</si>
  <si>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</si>
  <si>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</si>
  <si>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</si>
  <si>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</si>
  <si>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</si>
  <si>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</si>
  <si>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</si>
  <si>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</si>
  <si>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</si>
  <si>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</si>
  <si>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</si>
  <si>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</si>
  <si>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</si>
  <si>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</si>
  <si>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</si>
  <si>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</si>
  <si>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</si>
  <si>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</si>
  <si>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</si>
  <si>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</si>
  <si>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</si>
  <si>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</si>
  <si>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</si>
  <si>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</si>
  <si>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</si>
  <si>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</si>
  <si>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</si>
  <si>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</si>
  <si>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</si>
  <si>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</si>
  <si>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</si>
  <si>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</si>
  <si>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</si>
  <si>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</si>
  <si>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</si>
  <si>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</si>
  <si>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</si>
  <si>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</si>
  <si>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</si>
  <si>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</si>
  <si>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</si>
  <si>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</si>
  <si>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</si>
  <si>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</si>
  <si>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</si>
  <si>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</si>
  <si>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</si>
  <si>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</si>
  <si>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</si>
  <si>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</si>
  <si>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</si>
  <si>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</si>
  <si>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</si>
  <si>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</si>
  <si>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</si>
  <si>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</si>
  <si>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</si>
  <si>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</si>
  <si>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</si>
  <si>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</si>
  <si>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</si>
  <si>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</si>
  <si>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</si>
  <si>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</si>
  <si>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</si>
  <si>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</si>
  <si>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</si>
  <si>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</si>
  <si>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</si>
  <si>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</si>
  <si>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</si>
  <si>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</si>
  <si>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</si>
  <si>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</si>
  <si>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</si>
  <si>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</si>
  <si>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</si>
  <si>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</si>
  <si>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</si>
  <si>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</si>
  <si>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</si>
  <si>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</si>
  <si>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</si>
  <si>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</si>
  <si>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</si>
  <si>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</si>
  <si>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</si>
  <si>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</si>
  <si>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</si>
  <si>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</si>
  <si>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</si>
  <si>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</si>
  <si>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</si>
  <si>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</si>
  <si>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</si>
  <si>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</si>
  <si>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</si>
  <si>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</si>
  <si>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</si>
  <si>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</si>
  <si>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</si>
  <si>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</si>
  <si>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</si>
  <si>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</si>
  <si>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</si>
  <si>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</si>
  <si>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</si>
  <si>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</si>
  <si>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</si>
  <si>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</si>
  <si>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</si>
  <si>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</si>
  <si>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</si>
  <si>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</si>
  <si>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</si>
  <si>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</si>
  <si>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</si>
  <si>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</si>
  <si>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</si>
  <si>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</si>
  <si>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</si>
  <si>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</si>
  <si>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</si>
  <si>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</si>
  <si>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</si>
  <si>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</si>
  <si>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</si>
  <si>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</si>
  <si>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</si>
  <si>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</si>
  <si>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</si>
  <si>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</si>
  <si>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</si>
  <si>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</si>
  <si>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</si>
  <si>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</si>
  <si>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</si>
  <si>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</si>
  <si>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</si>
  <si>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</si>
  <si>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</si>
  <si>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</si>
  <si>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</si>
  <si>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</si>
  <si>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</si>
  <si>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</si>
  <si>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</si>
  <si>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</si>
  <si>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</si>
  <si>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</si>
  <si>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</si>
  <si>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</si>
  <si>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</si>
  <si>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</si>
  <si>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</si>
  <si>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</si>
  <si>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</si>
  <si>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</si>
  <si>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</si>
  <si>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</si>
  <si>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</si>
  <si>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</si>
  <si>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</si>
  <si>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</si>
  <si>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</si>
  <si>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</si>
  <si>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</si>
  <si>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</si>
  <si>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</si>
  <si>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</si>
  <si>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</si>
  <si>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</si>
  <si>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</si>
  <si>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</si>
  <si>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</si>
  <si>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</si>
  <si>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</si>
  <si>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</si>
  <si>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</si>
  <si>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</si>
  <si>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</si>
  <si>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</si>
  <si>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</si>
  <si>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</si>
  <si>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</si>
  <si>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</si>
  <si>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</si>
  <si>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</si>
  <si>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</si>
  <si>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</si>
  <si>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</si>
  <si>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</si>
  <si>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</si>
  <si>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</si>
  <si>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</si>
  <si>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</si>
  <si>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</si>
  <si>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</si>
  <si>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</si>
  <si>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</si>
  <si>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</si>
  <si>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</si>
  <si>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</si>
  <si>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</si>
  <si>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</si>
  <si>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</si>
  <si>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</si>
  <si>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</si>
  <si>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</si>
  <si>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</si>
  <si>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</si>
  <si>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</si>
  <si>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</si>
  <si>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</si>
  <si>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</si>
  <si>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</si>
  <si>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</si>
  <si>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</si>
  <si>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</si>
  <si>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</si>
  <si>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</si>
  <si>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</si>
  <si>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</si>
  <si>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</si>
  <si>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</si>
  <si>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</si>
  <si>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</si>
  <si>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</si>
  <si>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</si>
  <si>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</si>
  <si>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</si>
  <si>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</si>
  <si>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</si>
  <si>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</si>
  <si>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</si>
  <si>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</si>
  <si>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</si>
  <si>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</si>
  <si>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</si>
  <si>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</si>
  <si>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</si>
  <si>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</si>
  <si>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</si>
  <si>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</si>
  <si>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</si>
  <si>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</si>
  <si>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</si>
  <si>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</si>
  <si>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</si>
  <si>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</si>
  <si>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</si>
  <si>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</si>
  <si>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</si>
  <si>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</si>
  <si>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</si>
  <si>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</si>
  <si>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</si>
  <si>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</si>
  <si>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</si>
  <si>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</si>
  <si>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</si>
  <si>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</si>
  <si>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</si>
  <si>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</si>
  <si>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</si>
  <si>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</si>
  <si>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</si>
  <si>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</si>
  <si>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</si>
  <si>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</si>
  <si>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</si>
  <si>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</si>
  <si>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</si>
  <si>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</si>
  <si>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</si>
  <si>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</si>
  <si>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</si>
  <si>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</si>
  <si>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</si>
  <si>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</si>
  <si>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</si>
  <si>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</si>
  <si>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</si>
  <si>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</si>
  <si>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</si>
  <si>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</si>
  <si>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</si>
  <si>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</si>
  <si>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</si>
  <si>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</si>
  <si>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</si>
  <si>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</si>
  <si>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</si>
  <si>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</si>
  <si>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</si>
  <si>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</si>
  <si>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</si>
  <si>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</si>
  <si>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</si>
  <si>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</si>
  <si>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</si>
  <si>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</si>
  <si>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</si>
  <si>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</si>
  <si>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</si>
  <si>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</si>
  <si>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</si>
  <si>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</si>
  <si>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</si>
  <si>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</si>
  <si>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</si>
  <si>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</si>
  <si>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</si>
  <si>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</si>
  <si>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</si>
  <si>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</si>
  <si>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</si>
  <si>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</si>
  <si>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</si>
  <si>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</si>
  <si>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</si>
  <si>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</si>
  <si>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</si>
  <si>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</si>
  <si>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</si>
  <si>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</si>
  <si>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</si>
  <si>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</si>
  <si>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</si>
  <si>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</si>
  <si>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</si>
  <si>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</si>
  <si>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</si>
  <si>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</si>
  <si>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</si>
  <si>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</si>
  <si>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</si>
  <si>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</si>
  <si>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</si>
  <si>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</si>
  <si>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</si>
  <si>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</si>
  <si>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</si>
  <si>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</si>
  <si>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</si>
  <si>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</si>
  <si>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</si>
  <si>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</si>
  <si>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</si>
  <si>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</si>
  <si>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</si>
  <si>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</si>
  <si>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</si>
  <si>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</si>
  <si>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</si>
  <si>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</si>
  <si>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</si>
  <si>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</si>
  <si>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</si>
  <si>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</si>
  <si>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</si>
  <si>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</si>
  <si>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</si>
  <si>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</si>
  <si>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</si>
  <si>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</si>
  <si>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</si>
  <si>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</si>
  <si>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</si>
  <si>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</si>
  <si>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</si>
  <si>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</si>
  <si>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</si>
  <si>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</si>
  <si>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</si>
  <si>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</si>
  <si>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</si>
  <si>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</si>
  <si>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</si>
  <si>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</si>
  <si>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</si>
  <si>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</si>
  <si>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</si>
  <si>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</si>
  <si>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</si>
  <si>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</si>
  <si>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</si>
  <si>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</si>
  <si>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</si>
  <si>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</si>
  <si>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</si>
  <si>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</si>
  <si>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</si>
  <si>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</si>
  <si>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</si>
  <si>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</si>
  <si>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</si>
  <si>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</si>
  <si>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</si>
  <si>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</si>
  <si>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</si>
  <si>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</si>
  <si>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</si>
  <si>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</si>
  <si>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</si>
  <si>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</si>
  <si>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</si>
  <si>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</si>
  <si>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</si>
  <si>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</si>
  <si>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</si>
  <si>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</si>
  <si>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</si>
  <si>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</si>
  <si>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</si>
  <si>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</si>
  <si>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</si>
  <si>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</si>
  <si>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</si>
  <si>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</si>
  <si>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</si>
  <si>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</si>
  <si>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</si>
  <si>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</si>
  <si>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</si>
  <si>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</si>
  <si>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</si>
  <si>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</si>
  <si>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</si>
  <si>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</si>
  <si>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</si>
  <si>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</si>
  <si>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</si>
  <si>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</si>
  <si>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</si>
  <si>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</si>
  <si>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</si>
  <si>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</si>
  <si>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</si>
  <si>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</si>
  <si>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</si>
  <si>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</si>
  <si>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</si>
  <si>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</si>
  <si>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</si>
  <si>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</si>
  <si>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</si>
  <si>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</si>
  <si>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</si>
  <si>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</si>
  <si>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</si>
  <si>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</si>
  <si>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</si>
  <si>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</si>
  <si>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</si>
  <si>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</si>
  <si>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</si>
  <si>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</si>
  <si>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</si>
  <si>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</si>
  <si>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</si>
  <si>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</si>
  <si>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</si>
  <si>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</si>
  <si>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</si>
  <si>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</si>
  <si>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</si>
  <si>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</si>
  <si>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</si>
  <si>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</si>
  <si>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</si>
  <si>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</si>
  <si>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</si>
  <si>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</si>
  <si>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</si>
  <si>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</si>
  <si>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</si>
  <si>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</si>
  <si>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</si>
  <si>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</si>
  <si>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</si>
  <si>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</si>
  <si>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</si>
  <si>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</si>
  <si>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</si>
  <si>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</si>
  <si>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</si>
  <si>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</si>
  <si>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</si>
  <si>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</si>
  <si>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</si>
  <si>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</si>
  <si>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</si>
  <si>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</si>
  <si>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</si>
  <si>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</si>
  <si>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</si>
  <si>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</si>
  <si>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</si>
  <si>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</si>
  <si>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</si>
  <si>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</si>
  <si>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</si>
  <si>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</si>
  <si>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</si>
  <si>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</si>
  <si>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</si>
  <si>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</si>
  <si>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</si>
  <si>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</si>
  <si>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</si>
  <si>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</si>
  <si>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</si>
  <si>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</si>
  <si>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</si>
  <si>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</si>
  <si>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</si>
  <si>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</si>
  <si>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</si>
  <si>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</si>
  <si>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</si>
  <si>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</si>
  <si>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</si>
  <si>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</si>
  <si>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</si>
  <si>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</si>
  <si>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</si>
  <si>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</si>
  <si>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</si>
  <si>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</si>
  <si>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</si>
  <si>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</si>
  <si>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</si>
  <si>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</si>
  <si>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</si>
  <si>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</si>
  <si>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</si>
  <si>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</si>
  <si>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</si>
  <si>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</si>
  <si>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</si>
  <si>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</si>
  <si>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</si>
  <si>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</si>
  <si>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</si>
  <si>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</si>
  <si>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</si>
  <si>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</si>
  <si>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</si>
  <si>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</si>
  <si>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</si>
  <si>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</si>
  <si>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</si>
  <si>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</si>
  <si>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</si>
  <si>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</si>
  <si>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</si>
  <si>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</si>
  <si>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</si>
  <si>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</si>
  <si>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</si>
  <si>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</si>
  <si>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</si>
  <si>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</si>
  <si>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</si>
  <si>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</si>
  <si>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</si>
  <si>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</si>
  <si>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</si>
  <si>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</si>
  <si>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</si>
  <si>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</si>
  <si>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</si>
  <si>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</si>
  <si>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</si>
  <si>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</si>
  <si>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</si>
  <si>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</si>
  <si>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</si>
  <si>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</si>
  <si>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</si>
  <si>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</si>
  <si>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</si>
  <si>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</si>
  <si>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</si>
  <si>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</si>
  <si>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</si>
  <si>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</si>
  <si>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</si>
  <si>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</si>
  <si>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</si>
  <si>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</si>
  <si>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</si>
  <si>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</si>
  <si>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</si>
  <si>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</si>
  <si>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</si>
  <si>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</si>
  <si>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</si>
  <si>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</si>
  <si>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</si>
  <si>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</si>
  <si>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</si>
  <si>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</si>
  <si>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</si>
  <si>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</si>
  <si>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</si>
  <si>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</si>
  <si>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</si>
  <si>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</si>
  <si>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</si>
  <si>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</si>
  <si>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</si>
  <si>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</si>
  <si>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</si>
  <si>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</si>
  <si>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</si>
  <si>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</si>
  <si>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</si>
  <si>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</si>
  <si>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</si>
  <si>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</si>
  <si>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</si>
  <si>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</si>
  <si>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</si>
  <si>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</si>
  <si>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</si>
  <si>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</si>
  <si>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</si>
  <si>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</si>
  <si>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</si>
  <si>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</si>
  <si>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</si>
  <si>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</si>
  <si>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</si>
  <si>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</si>
  <si>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</si>
  <si>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</si>
  <si>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</si>
  <si>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</si>
  <si>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</si>
  <si>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</si>
  <si>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</si>
  <si>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</si>
  <si>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</si>
  <si>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</si>
  <si>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</si>
  <si>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</si>
  <si>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</si>
  <si>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</si>
  <si>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</si>
  <si>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</si>
  <si>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</si>
  <si>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</si>
  <si>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</si>
  <si>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</si>
  <si>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</si>
  <si>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</si>
  <si>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</si>
  <si>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</si>
  <si>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</si>
  <si>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</si>
  <si>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</si>
  <si>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</si>
  <si>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</si>
  <si>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</si>
  <si>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</si>
  <si>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</si>
  <si>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</si>
  <si>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</si>
  <si>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</si>
  <si>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</si>
  <si>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</si>
  <si>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</si>
  <si>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</si>
  <si>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</si>
  <si>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</si>
  <si>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</si>
  <si>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</si>
  <si>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</si>
  <si>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</si>
  <si>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</si>
  <si>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</si>
  <si>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</si>
  <si>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</si>
  <si>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</si>
  <si>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</si>
  <si>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</si>
  <si>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</si>
  <si>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</si>
  <si>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</si>
  <si>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</si>
  <si>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</si>
  <si>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</si>
  <si>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</si>
  <si>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</si>
  <si>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</si>
  <si>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</si>
  <si>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</si>
  <si>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</si>
  <si>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</si>
  <si>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</si>
  <si>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</si>
  <si>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</si>
  <si>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</si>
  <si>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</si>
  <si>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</si>
  <si>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</si>
  <si>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</si>
  <si>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</si>
  <si>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</si>
  <si>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</si>
  <si>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</si>
  <si>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</si>
  <si>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</si>
  <si>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</si>
  <si>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</si>
  <si>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</si>
  <si>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</si>
  <si>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</si>
  <si>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</si>
  <si>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</si>
  <si>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</si>
  <si>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</si>
  <si>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</si>
  <si>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</si>
  <si>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</si>
  <si>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</si>
  <si>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</si>
  <si>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</si>
  <si>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</si>
  <si>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</si>
  <si>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</si>
  <si>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</si>
  <si>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</si>
  <si>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</si>
  <si>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</si>
  <si>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</si>
  <si>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</si>
  <si>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</si>
  <si>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</si>
  <si>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</si>
  <si>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</si>
  <si>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</si>
  <si>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</si>
  <si>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</si>
  <si>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</si>
  <si>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</si>
  <si>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</si>
  <si>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</si>
  <si>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</si>
  <si>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</si>
  <si>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</si>
  <si>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</si>
  <si>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</si>
  <si>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</si>
  <si>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</si>
  <si>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</si>
  <si>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</si>
  <si>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</si>
  <si>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</si>
  <si>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</si>
  <si>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</si>
  <si>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</si>
  <si>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</si>
  <si>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</si>
  <si>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</si>
  <si>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</si>
  <si>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</si>
  <si>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</si>
  <si>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</si>
  <si>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</si>
  <si>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</si>
  <si>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</si>
  <si>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</si>
  <si>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</si>
  <si>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</si>
  <si>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</si>
  <si>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</si>
  <si>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</si>
  <si>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</si>
  <si>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</si>
  <si>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</si>
  <si>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</si>
  <si>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</si>
  <si>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</si>
  <si>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</si>
  <si>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</si>
  <si>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</si>
  <si>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</si>
  <si>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</si>
  <si>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</si>
  <si>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</si>
  <si>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</si>
  <si>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</si>
  <si>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</si>
  <si>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</si>
  <si>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</si>
  <si>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</si>
  <si>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</si>
  <si>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</si>
  <si>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</si>
  <si>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</si>
  <si>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</si>
  <si>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</si>
  <si>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</si>
  <si>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</si>
  <si>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</si>
  <si>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</si>
  <si>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</si>
  <si>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</si>
  <si>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</si>
  <si>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</si>
  <si>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</si>
  <si>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</si>
  <si>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</si>
  <si>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</si>
  <si>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</si>
  <si>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</si>
  <si>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</si>
  <si>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</si>
  <si>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</si>
  <si>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</si>
  <si>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</si>
  <si>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</si>
  <si>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</si>
  <si>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</si>
  <si>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</si>
  <si>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</si>
  <si>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</si>
  <si>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</si>
  <si>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</si>
  <si>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</si>
  <si>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</si>
  <si>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</si>
  <si>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</si>
  <si>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</si>
  <si>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</si>
  <si>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</si>
  <si>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</si>
  <si>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</si>
  <si>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</si>
  <si>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</si>
  <si>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</si>
  <si>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</si>
  <si>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</si>
  <si>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</si>
  <si>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</si>
  <si>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</si>
  <si>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</si>
  <si>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</si>
  <si>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</si>
  <si>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</si>
  <si>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</si>
  <si>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</si>
  <si>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</si>
  <si>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</si>
  <si>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</si>
  <si>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</si>
  <si>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</si>
  <si>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</si>
  <si>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</si>
  <si>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</si>
  <si>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</si>
  <si>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</si>
  <si>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</si>
  <si>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</si>
  <si>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</si>
  <si>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</si>
  <si>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</si>
  <si>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</si>
  <si>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</si>
  <si>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</si>
  <si>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</si>
  <si>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</si>
  <si>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</si>
  <si>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</si>
  <si>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</si>
  <si>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</si>
  <si>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</si>
  <si>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</si>
  <si>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</si>
  <si>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</si>
  <si>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</si>
  <si>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</si>
  <si>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</si>
  <si>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</si>
  <si>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</si>
  <si>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</si>
  <si>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</si>
  <si>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</si>
  <si>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</si>
  <si>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</si>
  <si>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</si>
  <si>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</si>
  <si>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</si>
  <si>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</si>
  <si>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</si>
  <si>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</si>
  <si>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</si>
  <si>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</si>
  <si>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</si>
  <si>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</si>
  <si>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</si>
  <si>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</si>
  <si>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</si>
  <si>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</si>
  <si>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</si>
  <si>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</si>
  <si>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</si>
  <si>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</si>
  <si>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</si>
  <si>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</si>
  <si>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</si>
  <si>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</si>
  <si>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</si>
  <si>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</si>
  <si>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</si>
  <si>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</si>
  <si>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</si>
  <si>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</si>
  <si>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</si>
  <si>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</si>
  <si>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</si>
  <si>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</si>
  <si>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</si>
  <si>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</si>
  <si>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</si>
  <si>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</si>
  <si>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</si>
  <si>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</si>
  <si>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</si>
  <si>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</si>
  <si>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</si>
  <si>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</si>
  <si>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</si>
  <si>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</si>
  <si>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</si>
  <si>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</si>
  <si>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</si>
  <si>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</si>
  <si>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</si>
  <si>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</si>
  <si>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</si>
  <si>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</si>
  <si>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</si>
  <si>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</si>
  <si>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</si>
  <si>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</si>
  <si>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</si>
  <si>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</si>
  <si>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</si>
  <si>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</si>
  <si>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</si>
  <si>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</si>
  <si>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</si>
  <si>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</si>
  <si>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</si>
  <si>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</si>
  <si>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</si>
  <si>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</si>
  <si>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</si>
  <si>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</si>
  <si>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</si>
  <si>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</si>
  <si>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</si>
  <si>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</si>
  <si>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</si>
  <si>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</si>
  <si>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</si>
  <si>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</si>
  <si>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</si>
  <si>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</si>
  <si>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</si>
  <si>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</si>
  <si>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</si>
  <si>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</si>
  <si>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</si>
  <si>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</si>
  <si>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</si>
  <si>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</si>
  <si>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</si>
  <si>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</si>
  <si>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</si>
  <si>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</si>
  <si>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</si>
  <si>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</si>
  <si>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</si>
  <si>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</si>
  <si>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</si>
  <si>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</si>
  <si>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</si>
  <si>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</si>
  <si>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</si>
  <si>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</si>
  <si>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</si>
  <si>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</si>
  <si>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</si>
  <si>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</si>
  <si>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</si>
  <si>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</si>
  <si>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</si>
  <si>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</si>
  <si>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</si>
  <si>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</si>
  <si>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</si>
  <si>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</si>
  <si>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</si>
  <si>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</si>
  <si>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</si>
  <si>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</si>
  <si>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</si>
  <si>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</si>
  <si>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</si>
  <si>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</si>
  <si>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</si>
  <si>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</si>
  <si>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</si>
  <si>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</si>
  <si>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</si>
  <si>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</si>
  <si>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</si>
  <si>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</si>
  <si>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</si>
  <si>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</si>
  <si>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</si>
  <si>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</si>
  <si>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</si>
  <si>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</si>
  <si>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</si>
  <si>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</si>
  <si>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</si>
  <si>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</si>
  <si>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</si>
  <si>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</si>
  <si>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</si>
  <si>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</si>
  <si>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</si>
  <si>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</si>
  <si>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</si>
  <si>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</si>
  <si>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</si>
  <si>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</si>
  <si>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</si>
  <si>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</si>
  <si>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</si>
  <si>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</si>
  <si>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</si>
  <si>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</si>
  <si>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</si>
  <si>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</si>
  <si>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</si>
  <si>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</si>
  <si>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</si>
  <si>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</si>
  <si>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</si>
  <si>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</si>
  <si>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</si>
  <si>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</si>
  <si>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</si>
  <si>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</si>
  <si>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</si>
  <si>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</si>
  <si>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</si>
  <si>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</si>
  <si>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</si>
  <si>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</si>
  <si>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</si>
  <si>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</si>
  <si>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</si>
  <si>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</si>
  <si>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</si>
  <si>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</si>
  <si>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</si>
  <si>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</si>
  <si>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</si>
  <si>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</si>
  <si>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</si>
  <si>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</si>
  <si>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</si>
  <si>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</si>
  <si>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</si>
  <si>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</si>
  <si>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</si>
  <si>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</si>
  <si>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</si>
  <si>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</si>
  <si>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</si>
  <si>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</si>
  <si>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</si>
  <si>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</si>
  <si>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</si>
  <si>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</si>
  <si>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</si>
  <si>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</si>
  <si>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</si>
  <si>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</si>
  <si>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</si>
  <si>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</si>
  <si>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</si>
  <si>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</si>
  <si>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</si>
  <si>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</si>
  <si>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</si>
  <si>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</si>
  <si>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</si>
  <si>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</si>
  <si>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</si>
  <si>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</si>
  <si>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</si>
  <si>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</si>
  <si>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</si>
  <si>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</si>
  <si>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</si>
  <si>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</si>
  <si>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</si>
  <si>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</si>
  <si>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</si>
  <si>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</si>
  <si>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</si>
  <si>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</si>
  <si>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</si>
  <si>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</si>
  <si>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</si>
  <si>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</si>
  <si>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</si>
  <si>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</si>
  <si>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</si>
  <si>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</si>
  <si>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</si>
  <si>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</si>
  <si>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</si>
  <si>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</si>
  <si>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</si>
  <si>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</si>
  <si>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</si>
  <si>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</si>
  <si>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</si>
  <si>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</si>
  <si>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</si>
  <si>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</si>
  <si>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</si>
  <si>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</si>
  <si>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</si>
  <si>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</si>
  <si>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</si>
  <si>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</si>
  <si>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</si>
  <si>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</si>
  <si>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</si>
  <si>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</si>
  <si>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</si>
  <si>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</si>
  <si>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</si>
  <si>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</si>
  <si>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</si>
  <si>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</si>
  <si>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</si>
  <si>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</si>
  <si>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</si>
  <si>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</si>
  <si>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</si>
  <si>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</si>
  <si>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</si>
  <si>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</si>
  <si>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</si>
  <si>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</si>
  <si>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</si>
  <si>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</si>
  <si>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</si>
  <si>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</si>
  <si>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</si>
  <si>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</si>
  <si>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</si>
  <si>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</si>
  <si>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</si>
  <si>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</si>
  <si>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</si>
  <si>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</si>
  <si>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</si>
  <si>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</si>
  <si>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</si>
  <si>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</si>
  <si>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</si>
  <si>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</si>
  <si>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</si>
  <si>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</si>
  <si>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</si>
  <si>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</si>
  <si>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</si>
  <si>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</si>
  <si>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</si>
  <si>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</si>
  <si>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</si>
  <si>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</si>
  <si>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</si>
  <si>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</si>
  <si>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</si>
  <si>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</si>
  <si>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</si>
  <si>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</si>
  <si>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</si>
  <si>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</si>
  <si>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</si>
  <si>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</si>
  <si>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</si>
  <si>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</si>
  <si>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</si>
  <si>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</si>
  <si>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</si>
  <si>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</si>
  <si>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</si>
  <si>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</si>
  <si>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</si>
  <si>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</si>
  <si>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</si>
  <si>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</si>
  <si>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</si>
  <si>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</si>
  <si>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</si>
  <si>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</si>
  <si>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</si>
  <si>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</si>
  <si>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</si>
  <si>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</si>
  <si>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</si>
  <si>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</si>
  <si>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</si>
  <si>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</si>
  <si>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</si>
  <si>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</si>
  <si>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</si>
  <si>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</si>
  <si>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</si>
  <si>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</si>
  <si>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</si>
  <si>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</si>
  <si>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</si>
  <si>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</si>
  <si>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</si>
  <si>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</si>
  <si>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</si>
  <si>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</si>
  <si>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</si>
  <si>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</si>
  <si>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</si>
  <si>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</si>
  <si>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</si>
  <si>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</si>
  <si>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</si>
  <si>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</si>
  <si>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</si>
  <si>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</si>
  <si>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</si>
  <si>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</si>
  <si>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</si>
  <si>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</si>
  <si>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</si>
  <si>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</si>
  <si>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</si>
  <si>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</si>
  <si>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</si>
  <si>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</si>
  <si>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</si>
  <si>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</si>
  <si>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</si>
  <si>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</si>
  <si>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</si>
  <si>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</si>
  <si>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</si>
  <si>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</si>
  <si>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</si>
  <si>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</si>
  <si>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</si>
  <si>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</si>
  <si>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</si>
  <si>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</si>
  <si>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</si>
  <si>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</si>
  <si>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</si>
  <si>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</si>
  <si>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</si>
  <si>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</si>
  <si>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</si>
  <si>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</si>
  <si>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</si>
  <si>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</si>
  <si>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</si>
  <si>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</si>
  <si>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</si>
  <si>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</si>
  <si>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</si>
  <si>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</si>
  <si>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</si>
  <si>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</si>
  <si>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</si>
  <si>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</si>
  <si>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</si>
  <si>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</si>
  <si>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</si>
  <si>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</si>
  <si>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</si>
  <si>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</si>
  <si>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</si>
  <si>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</si>
  <si>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</si>
  <si>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</si>
  <si>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</si>
  <si>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</si>
  <si>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</si>
  <si>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</si>
  <si>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</si>
  <si>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</si>
  <si>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</si>
  <si>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</si>
  <si>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</si>
  <si>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</si>
  <si>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</si>
  <si>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</si>
  <si>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</si>
  <si>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</si>
  <si>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</si>
  <si>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</si>
  <si>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</si>
  <si>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</si>
  <si>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</si>
  <si>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</si>
  <si>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</si>
  <si>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</si>
  <si>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</si>
  <si>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</si>
  <si>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</si>
  <si>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</si>
  <si>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</si>
  <si>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</si>
  <si>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</si>
  <si>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</si>
  <si>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</si>
  <si>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</si>
  <si>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</si>
  <si>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</si>
  <si>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</si>
  <si>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</si>
  <si>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</si>
  <si>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</si>
  <si>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</si>
  <si>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</si>
  <si>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</si>
  <si>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</si>
  <si>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</si>
  <si>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</si>
  <si>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</si>
  <si>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</si>
  <si>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</si>
  <si>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</si>
  <si>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</si>
  <si>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</si>
  <si>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</si>
  <si>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</si>
  <si>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</si>
  <si>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</si>
  <si>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</si>
  <si>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</si>
  <si>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</si>
  <si>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</si>
  <si>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</si>
  <si>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</si>
  <si>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</si>
  <si>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</si>
  <si>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</si>
  <si>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</si>
  <si>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</si>
  <si>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</si>
  <si>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</si>
  <si>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</si>
  <si>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</si>
  <si>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</si>
  <si>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</si>
  <si>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</si>
  <si>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</si>
  <si>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</si>
  <si>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</si>
  <si>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</si>
  <si>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</si>
  <si>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</si>
  <si>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</si>
  <si>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</si>
  <si>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</si>
  <si>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</si>
  <si>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</si>
  <si>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</si>
  <si>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</si>
  <si>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</si>
  <si>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</si>
  <si>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</si>
  <si>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</si>
  <si>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</si>
  <si>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</si>
  <si>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</si>
  <si>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</si>
  <si>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</si>
  <si>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</si>
  <si>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</si>
  <si>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</si>
  <si>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</si>
  <si>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</si>
  <si>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</si>
  <si>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</si>
  <si>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</si>
  <si>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</si>
  <si>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</si>
  <si>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</si>
  <si>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</si>
  <si>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</si>
  <si>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</si>
  <si>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</si>
  <si>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</si>
  <si>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</si>
  <si>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</si>
  <si>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</si>
  <si>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</si>
  <si>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</si>
  <si>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</si>
  <si>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</si>
  <si>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</si>
  <si>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</si>
  <si>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</si>
  <si>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</si>
  <si>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</si>
  <si>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</si>
  <si>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</si>
  <si>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</si>
  <si>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</si>
  <si>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</si>
  <si>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</si>
  <si>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</si>
  <si>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</si>
  <si>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</si>
  <si>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</si>
  <si>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</si>
  <si>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</si>
  <si>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</si>
  <si>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</si>
  <si>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</si>
  <si>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</si>
  <si>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</si>
  <si>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</si>
  <si>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</si>
  <si>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</si>
  <si>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</si>
  <si>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</si>
  <si>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</si>
  <si>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</si>
  <si>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</si>
  <si>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</si>
  <si>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</si>
  <si>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</si>
  <si>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</si>
  <si>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</si>
  <si>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</si>
  <si>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</si>
  <si>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</si>
  <si>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</si>
  <si>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</si>
  <si>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</si>
  <si>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</si>
  <si>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</si>
  <si>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</si>
  <si>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</si>
  <si>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</si>
  <si>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</si>
  <si>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</si>
  <si>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</si>
  <si>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</si>
  <si>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</si>
  <si>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</si>
  <si>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</si>
  <si>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</si>
  <si>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</si>
  <si>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</si>
  <si>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</si>
  <si>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</si>
  <si>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</si>
  <si>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</si>
  <si>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</si>
  <si>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</si>
  <si>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</si>
  <si>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</si>
  <si>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</si>
  <si>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</si>
  <si>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</si>
  <si>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</si>
  <si>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</si>
  <si>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</si>
  <si>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</si>
  <si>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</si>
  <si>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</si>
  <si>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</si>
  <si>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</si>
  <si>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</si>
  <si>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</si>
  <si>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</si>
  <si>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</si>
  <si>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</si>
  <si>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</si>
  <si>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</si>
  <si>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</si>
  <si>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</si>
  <si>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</si>
  <si>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</si>
  <si>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</si>
  <si>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</si>
  <si>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</si>
  <si>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</si>
  <si>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</si>
  <si>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</si>
  <si>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</si>
  <si>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</si>
  <si>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</si>
  <si>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</si>
  <si>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</si>
  <si>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</si>
  <si>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</si>
  <si>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</si>
  <si>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</si>
  <si>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</si>
  <si>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</si>
  <si>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</si>
  <si>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</si>
  <si>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</si>
  <si>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</si>
  <si>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</si>
  <si>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</si>
  <si>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</si>
  <si>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</si>
  <si>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</si>
  <si>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</si>
  <si>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</si>
  <si>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</si>
  <si>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</si>
  <si>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</si>
  <si>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</si>
  <si>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</si>
  <si>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</si>
  <si>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</si>
  <si>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</si>
  <si>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</si>
  <si>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</si>
  <si>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</si>
  <si>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</si>
  <si>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</si>
  <si>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</si>
  <si>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</si>
  <si>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</si>
  <si>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</si>
  <si>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</si>
  <si>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</si>
  <si>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</si>
  <si>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</si>
  <si>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</si>
  <si>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</si>
  <si>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</si>
  <si>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</si>
  <si>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</si>
  <si>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</si>
  <si>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</si>
  <si>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</si>
  <si>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</si>
  <si>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</si>
  <si>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</si>
  <si>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</si>
  <si>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</si>
  <si>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</si>
  <si>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</si>
  <si>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</si>
  <si>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</si>
  <si>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</si>
  <si>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</si>
  <si>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</si>
  <si>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</si>
  <si>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</si>
  <si>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</si>
  <si>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</si>
  <si>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</si>
  <si>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</si>
  <si>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</si>
  <si>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</si>
  <si>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</si>
  <si>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</si>
  <si>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</si>
  <si>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</si>
  <si>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</si>
  <si>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</si>
  <si>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</si>
  <si>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</si>
  <si>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</si>
  <si>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</si>
  <si>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</si>
  <si>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</si>
  <si>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</si>
  <si>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</si>
  <si>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</si>
  <si>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</si>
  <si>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</si>
  <si>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</si>
  <si>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</si>
  <si>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</si>
  <si>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</si>
  <si>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</si>
  <si>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</si>
  <si>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</si>
  <si>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</si>
  <si>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</si>
  <si>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</si>
  <si>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</si>
  <si>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</si>
  <si>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</si>
  <si>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</si>
  <si>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</si>
  <si>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</si>
  <si>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</si>
  <si>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</si>
  <si>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</si>
  <si>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</si>
  <si>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</si>
  <si>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</si>
  <si>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</si>
  <si>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</si>
  <si>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</si>
  <si>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</si>
  <si>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</si>
  <si>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</si>
  <si>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</si>
  <si>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</si>
  <si>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</si>
  <si>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</si>
  <si>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</si>
  <si>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</si>
  <si>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</si>
  <si>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</si>
  <si>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</si>
  <si>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</si>
  <si>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</si>
  <si>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</si>
  <si>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</si>
  <si>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</si>
  <si>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</si>
  <si>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</si>
  <si>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</si>
  <si>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</si>
  <si>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</si>
  <si>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</si>
  <si>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</si>
  <si>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</si>
  <si>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</si>
  <si>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</si>
  <si>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</si>
  <si>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</si>
  <si>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</si>
  <si>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</si>
  <si>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</si>
  <si>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</si>
  <si>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</si>
  <si>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</si>
  <si>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</si>
  <si>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</si>
  <si>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</si>
  <si>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</si>
  <si>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</si>
  <si>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</si>
  <si>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</si>
  <si>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</si>
  <si>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</si>
  <si>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</si>
  <si>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</si>
  <si>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</si>
  <si>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</si>
  <si>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</si>
  <si>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</si>
  <si>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</si>
  <si>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</si>
  <si>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</si>
  <si>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</si>
  <si>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</si>
  <si>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</si>
  <si>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</si>
  <si>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</si>
  <si>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</si>
  <si>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</si>
  <si>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</si>
  <si>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</si>
  <si>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</si>
  <si>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</si>
  <si>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</si>
  <si>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</si>
  <si>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</si>
  <si>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</si>
  <si>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</si>
  <si>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</si>
  <si>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</si>
  <si>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</si>
  <si>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</si>
  <si>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</si>
  <si>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</si>
  <si>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</si>
  <si>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</si>
  <si>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</si>
  <si>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</si>
  <si>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</si>
  <si>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</si>
  <si>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</si>
  <si>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</si>
  <si>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</si>
  <si>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</si>
  <si>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</si>
  <si>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</si>
  <si>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</si>
  <si>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</si>
  <si>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</si>
  <si>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</si>
  <si>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</si>
  <si>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</si>
  <si>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</si>
  <si>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</si>
  <si>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</si>
  <si>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</si>
  <si>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</si>
  <si>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</si>
  <si>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</si>
  <si>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</si>
  <si>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</si>
  <si>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</si>
  <si>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</si>
  <si>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</si>
  <si>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</si>
  <si>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</si>
  <si>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</si>
  <si>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</si>
  <si>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</si>
  <si>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</si>
  <si>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</si>
  <si>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</si>
  <si>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</si>
  <si>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</si>
  <si>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</si>
  <si>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</si>
  <si>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</si>
  <si>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</si>
  <si>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</si>
  <si>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</si>
  <si>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</si>
  <si>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</si>
  <si>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</si>
  <si>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</si>
  <si>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</si>
  <si>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</si>
  <si>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</si>
  <si>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</si>
  <si>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</si>
  <si>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</si>
  <si>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</si>
  <si>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</si>
  <si>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</si>
  <si>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</si>
  <si>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</si>
  <si>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</si>
  <si>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</si>
  <si>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</si>
  <si>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</si>
  <si>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</si>
  <si>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</si>
  <si>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</si>
  <si>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</si>
  <si>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</si>
  <si>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</si>
  <si>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</si>
  <si>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</si>
  <si>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</si>
  <si>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</si>
  <si>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</si>
  <si>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</si>
  <si>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</si>
  <si>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</si>
  <si>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</si>
  <si>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</si>
  <si>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</si>
  <si>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</si>
  <si>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</si>
  <si>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</si>
  <si>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</si>
  <si>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</si>
  <si>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</si>
  <si>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</si>
  <si>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</si>
  <si>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</si>
  <si>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</si>
  <si>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</si>
  <si>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</si>
  <si>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</si>
  <si>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</si>
  <si>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</si>
  <si>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</si>
  <si>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</si>
  <si>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</si>
  <si>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</si>
  <si>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</si>
  <si>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</si>
  <si>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</si>
  <si>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</si>
  <si>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</si>
  <si>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</si>
  <si>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</si>
  <si>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</si>
  <si>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</si>
  <si>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</si>
  <si>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</si>
  <si>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</si>
  <si>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</si>
  <si>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</si>
  <si>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</si>
  <si>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</si>
  <si>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</si>
  <si>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</si>
  <si>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</si>
  <si>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</si>
  <si>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</si>
  <si>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</si>
  <si>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</si>
  <si>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</si>
  <si>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</si>
  <si>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</si>
  <si>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</si>
  <si>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</si>
  <si>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</si>
  <si>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</si>
  <si>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</si>
  <si>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</si>
  <si>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</si>
  <si>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</si>
  <si>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</si>
  <si>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</si>
  <si>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</si>
  <si>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</si>
  <si>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</si>
  <si>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</si>
  <si>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</si>
  <si>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</si>
  <si>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</si>
  <si>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</si>
  <si>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</si>
  <si>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</si>
  <si>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</si>
  <si>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</si>
  <si>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</si>
  <si>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</si>
  <si>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</si>
  <si>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</si>
  <si>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</si>
  <si>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</si>
  <si>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</si>
  <si>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</si>
  <si>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</si>
  <si>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</si>
  <si>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</si>
  <si>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</si>
  <si>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</si>
  <si>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</si>
  <si>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</si>
  <si>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</si>
  <si>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</si>
  <si>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</si>
  <si>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</si>
  <si>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</si>
  <si>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</si>
  <si>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</si>
  <si>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</si>
  <si>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</si>
  <si>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</si>
  <si>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</si>
  <si>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</si>
  <si>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</si>
  <si>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</si>
  <si>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</si>
  <si>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</si>
  <si>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</si>
  <si>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</si>
  <si>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</si>
  <si>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</si>
  <si>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</si>
  <si>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</si>
  <si>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</si>
  <si>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</si>
  <si>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</si>
  <si>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</si>
  <si>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</si>
  <si>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</si>
  <si>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</si>
  <si>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</si>
  <si>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</si>
  <si>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</si>
  <si>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</si>
  <si>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</si>
  <si>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</si>
  <si>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</si>
  <si>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</si>
  <si>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</si>
  <si>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</si>
  <si>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</si>
  <si>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</si>
  <si>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</si>
  <si>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</si>
  <si>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</si>
  <si>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</si>
  <si>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</si>
  <si>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</si>
  <si>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</si>
  <si>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</si>
  <si>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</si>
  <si>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</si>
  <si>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</si>
  <si>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</si>
  <si>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</si>
  <si>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</si>
  <si>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</si>
  <si>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</si>
  <si>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</si>
  <si>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</si>
  <si>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</si>
  <si>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</si>
  <si>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</si>
  <si>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</si>
  <si>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</si>
  <si>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</si>
  <si>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</si>
  <si>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</si>
  <si>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</si>
  <si>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</si>
  <si>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</si>
  <si>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</si>
  <si>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</si>
  <si>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</si>
  <si>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</si>
  <si>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</si>
  <si>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</si>
  <si>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</si>
  <si>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</si>
  <si>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</si>
  <si>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</si>
  <si>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</si>
  <si>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</si>
  <si>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</si>
  <si>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</si>
  <si>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</si>
  <si>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</si>
  <si>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</si>
  <si>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</si>
  <si>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</si>
  <si>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</si>
  <si>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</si>
  <si>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</si>
  <si>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</si>
  <si>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</si>
  <si>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</si>
  <si>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</si>
  <si>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</si>
  <si>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</si>
  <si>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</si>
  <si>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</si>
  <si>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</si>
  <si>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</si>
  <si>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</si>
  <si>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</si>
  <si>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</si>
  <si>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</si>
  <si>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</si>
  <si>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</si>
  <si>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</si>
  <si>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</si>
  <si>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</si>
  <si>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</si>
  <si>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</si>
  <si>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</si>
  <si>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</si>
  <si>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</si>
  <si>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</si>
  <si>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</si>
  <si>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</si>
  <si>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</si>
  <si>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</si>
  <si>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</si>
  <si>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</si>
  <si>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</si>
  <si>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</si>
  <si>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</si>
  <si>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</si>
  <si>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</si>
  <si>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</si>
  <si>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</si>
  <si>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</si>
  <si>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</si>
  <si>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</si>
  <si>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</si>
  <si>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</si>
  <si>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</si>
  <si>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</si>
  <si>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</si>
  <si>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</si>
  <si>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</si>
  <si>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</si>
  <si>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</si>
  <si>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</si>
  <si>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</si>
  <si>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</si>
  <si>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</si>
  <si>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</si>
  <si>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</si>
  <si>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</si>
  <si>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</si>
  <si>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</si>
  <si>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</si>
  <si>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</si>
  <si>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</si>
  <si>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</si>
  <si>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</si>
  <si>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</si>
  <si>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</si>
  <si>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</si>
  <si>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</si>
  <si>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</si>
  <si>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</si>
  <si>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</si>
  <si>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</si>
  <si>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</si>
  <si>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</si>
  <si>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</si>
  <si>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</si>
  <si>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</si>
  <si>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</si>
  <si>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</si>
  <si>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</si>
  <si>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</si>
  <si>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</si>
  <si>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</si>
  <si>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</si>
  <si>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</si>
  <si>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</si>
  <si>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</si>
  <si>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</si>
  <si>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</si>
  <si>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</si>
  <si>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</si>
  <si>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</si>
  <si>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</si>
  <si>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</si>
  <si>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</si>
  <si>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</si>
  <si>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</si>
  <si>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</si>
  <si>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</si>
  <si>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</si>
  <si>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</si>
  <si>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</si>
  <si>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</si>
  <si>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</si>
  <si>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</si>
  <si>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</si>
  <si>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</si>
  <si>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</si>
  <si>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</si>
  <si>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</si>
  <si>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</si>
  <si>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</si>
  <si>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</si>
  <si>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</si>
  <si>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</si>
  <si>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</si>
  <si>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</si>
  <si>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</si>
  <si>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</si>
  <si>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</si>
  <si>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</si>
  <si>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</si>
  <si>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</si>
  <si>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</si>
  <si>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</si>
  <si>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</si>
  <si>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</si>
  <si>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</si>
  <si>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</si>
  <si>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</si>
  <si>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</si>
  <si>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</si>
  <si>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</si>
  <si>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</si>
  <si>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</si>
  <si>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</si>
  <si>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</si>
  <si>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</si>
  <si>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</si>
  <si>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</si>
  <si>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</si>
  <si>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</si>
  <si>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</si>
  <si>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</si>
  <si>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</si>
  <si>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</si>
  <si>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</si>
  <si>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</si>
  <si>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</si>
  <si>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</si>
  <si>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</si>
  <si>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</si>
  <si>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</si>
  <si>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</si>
  <si>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</si>
  <si>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</si>
  <si>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</si>
  <si>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</si>
  <si>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</si>
  <si>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</si>
  <si>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</si>
  <si>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</si>
  <si>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</si>
  <si>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</si>
  <si>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</si>
  <si>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</si>
  <si>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</si>
  <si>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</si>
  <si>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</si>
  <si>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</si>
  <si>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</si>
  <si>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</si>
  <si>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</si>
  <si>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</si>
  <si>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</si>
  <si>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</si>
  <si>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</si>
  <si>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</si>
  <si>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</si>
  <si>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</si>
  <si>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</si>
  <si>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</si>
  <si>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</si>
  <si>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</si>
  <si>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</si>
  <si>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</si>
  <si>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</si>
  <si>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</si>
  <si>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</si>
  <si>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</si>
  <si>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</si>
  <si>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</si>
  <si>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</si>
  <si>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</si>
  <si>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</si>
  <si>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</si>
  <si>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</si>
  <si>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</si>
  <si>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</si>
  <si>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</si>
  <si>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</si>
  <si>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</si>
  <si>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</si>
  <si>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</si>
  <si>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</si>
  <si>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</si>
  <si>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</si>
  <si>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</si>
  <si>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</si>
  <si>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</si>
  <si>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</si>
  <si>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</si>
  <si>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</si>
  <si>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</si>
  <si>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</si>
  <si>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</si>
  <si>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</si>
  <si>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</si>
  <si>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</si>
  <si>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</si>
  <si>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</si>
  <si>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</si>
  <si>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</si>
  <si>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</si>
  <si>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</si>
  <si>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</si>
  <si>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</si>
  <si>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</si>
  <si>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</si>
  <si>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</si>
  <si>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</si>
  <si>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</si>
  <si>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</si>
  <si>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</si>
  <si>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</si>
  <si>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</si>
  <si>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</si>
  <si>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</si>
  <si>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</si>
  <si>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</si>
  <si>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</si>
  <si>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</si>
  <si>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</si>
  <si>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</si>
  <si>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</si>
  <si>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</si>
  <si>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</si>
  <si>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</si>
  <si>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</si>
  <si>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</si>
  <si>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</si>
  <si>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</si>
  <si>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</si>
  <si>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</si>
  <si>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</si>
  <si>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</si>
  <si>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</si>
  <si>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</si>
  <si>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</si>
  <si>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</si>
  <si>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</si>
  <si>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</si>
  <si>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</si>
  <si>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</si>
  <si>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</si>
  <si>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</si>
  <si>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</si>
  <si>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</si>
  <si>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</si>
  <si>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</si>
  <si>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</si>
  <si>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</si>
  <si>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</si>
  <si>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</si>
  <si>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</si>
  <si>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</si>
  <si>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</si>
  <si>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</si>
  <si>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</si>
  <si>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</si>
  <si>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</si>
  <si>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</si>
  <si>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</si>
  <si>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</si>
  <si>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</si>
  <si>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</si>
  <si>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</si>
  <si>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</si>
  <si>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</si>
  <si>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</si>
  <si>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</si>
  <si>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</si>
  <si>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</si>
  <si>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</si>
  <si>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</si>
  <si>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</si>
  <si>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</si>
  <si>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</si>
  <si>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</si>
  <si>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</si>
  <si>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</si>
  <si>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</si>
  <si>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</si>
  <si>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</si>
  <si>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</si>
  <si>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</si>
  <si>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</si>
  <si>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</si>
  <si>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</si>
  <si>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</si>
  <si>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</si>
  <si>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</si>
  <si>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</si>
  <si>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</si>
  <si>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</si>
  <si>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</si>
  <si>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</si>
  <si>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</si>
  <si>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</si>
  <si>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</si>
  <si>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</si>
  <si>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</si>
  <si>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</si>
  <si>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</si>
  <si>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</si>
  <si>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</si>
  <si>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</si>
  <si>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</si>
  <si>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</si>
  <si>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</si>
  <si>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</si>
  <si>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</si>
  <si>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</si>
  <si>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</si>
  <si>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</si>
  <si>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</si>
  <si>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</si>
  <si>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</si>
  <si>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</si>
  <si>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</si>
  <si>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</si>
  <si>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</si>
  <si>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</si>
  <si>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</si>
  <si>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</si>
  <si>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</si>
  <si>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</si>
  <si>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</si>
  <si>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</si>
  <si>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</si>
  <si>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</si>
  <si>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</si>
  <si>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</si>
  <si>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</si>
  <si>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</si>
  <si>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</si>
  <si>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</si>
  <si>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</si>
  <si>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</si>
  <si>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</si>
  <si>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</si>
  <si>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</si>
  <si>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</si>
  <si>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</si>
  <si>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</si>
  <si>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</si>
  <si>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</si>
  <si>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</si>
  <si>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</si>
  <si>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</si>
  <si>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</si>
  <si>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</si>
  <si>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</si>
  <si>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</si>
  <si>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</si>
  <si>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</si>
  <si>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</si>
  <si>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</si>
  <si>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</si>
  <si>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</si>
  <si>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</si>
  <si>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</si>
  <si>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</si>
  <si>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</si>
  <si>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</si>
  <si>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</si>
  <si>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</si>
  <si>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</si>
  <si>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</si>
  <si>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</si>
  <si>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</si>
  <si>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</si>
  <si>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</si>
  <si>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</si>
  <si>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</si>
  <si>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</si>
  <si>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</si>
  <si>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</si>
  <si>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</si>
  <si>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</si>
  <si>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</si>
  <si>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</si>
  <si>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</si>
  <si>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</si>
  <si>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</si>
  <si>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</si>
  <si>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</si>
  <si>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</si>
  <si>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</si>
  <si>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</si>
  <si>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</si>
  <si>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</si>
  <si>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</si>
  <si>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</si>
  <si>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</si>
  <si>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</si>
  <si>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</si>
  <si>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</si>
  <si>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</si>
  <si>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</si>
  <si>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</si>
  <si>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</si>
  <si>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</si>
  <si>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</si>
  <si>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</si>
  <si>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</si>
  <si>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</si>
  <si>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</si>
  <si>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</si>
  <si>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</si>
  <si>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</si>
  <si>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</si>
  <si>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</si>
  <si>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</si>
  <si>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</si>
  <si>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</si>
  <si>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</si>
  <si>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</si>
  <si>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</si>
  <si>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</si>
  <si>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</si>
  <si>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</si>
  <si>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</si>
  <si>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</si>
  <si>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</si>
  <si>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</si>
  <si>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</si>
  <si>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</si>
  <si>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</si>
  <si>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</si>
  <si>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</si>
  <si>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</si>
  <si>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</si>
  <si>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</si>
  <si>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</si>
  <si>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</si>
  <si>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</si>
  <si>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</si>
  <si>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</si>
  <si>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</si>
  <si>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</si>
  <si>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</si>
  <si>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</si>
  <si>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</si>
  <si>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</si>
  <si>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</si>
  <si>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</si>
  <si>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</si>
  <si>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</si>
  <si>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</si>
  <si>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</si>
  <si>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</si>
  <si>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</si>
  <si>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</si>
  <si>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</si>
  <si>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</si>
  <si>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</si>
  <si>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</si>
  <si>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</si>
  <si>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</si>
  <si>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</si>
  <si>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</si>
  <si>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</si>
  <si>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</si>
  <si>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</si>
  <si>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</si>
  <si>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</si>
  <si>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</si>
  <si>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</si>
  <si>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</si>
  <si>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</si>
  <si>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</si>
  <si>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</si>
  <si>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</si>
  <si>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</si>
  <si>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</si>
  <si>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</si>
  <si>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</si>
  <si>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</si>
  <si>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</si>
  <si>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</si>
  <si>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</si>
  <si>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</si>
  <si>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</si>
  <si>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</si>
  <si>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</si>
  <si>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</si>
  <si>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</si>
  <si>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</si>
  <si>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</si>
  <si>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</si>
  <si>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</si>
  <si>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</si>
  <si>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</si>
  <si>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</si>
  <si>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</si>
  <si>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</si>
  <si>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</si>
  <si>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</si>
  <si>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</si>
  <si>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</si>
  <si>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</si>
  <si>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</si>
  <si>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</si>
  <si>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</si>
  <si>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</si>
  <si>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</si>
  <si>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</si>
  <si>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</si>
  <si>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</si>
  <si>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</si>
  <si>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</si>
  <si>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</si>
  <si>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</si>
  <si>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</si>
  <si>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</si>
  <si>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</si>
  <si>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</si>
  <si>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</si>
  <si>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</si>
  <si>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</si>
  <si>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</si>
  <si>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</si>
  <si>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</si>
  <si>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</si>
  <si>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</si>
  <si>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</si>
  <si>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</si>
  <si>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</si>
  <si>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</si>
  <si>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</si>
  <si>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</si>
  <si>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</si>
  <si>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</si>
  <si>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</si>
  <si>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</si>
  <si>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</si>
  <si>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</si>
  <si>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</si>
  <si>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</si>
  <si>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</si>
  <si>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</si>
  <si>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</si>
  <si>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</si>
  <si>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</si>
  <si>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</si>
  <si>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</si>
  <si>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</si>
  <si>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</si>
  <si>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</si>
  <si>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</si>
  <si>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</si>
  <si>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</si>
  <si>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</si>
  <si>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</si>
  <si>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</si>
  <si>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</si>
  <si>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</si>
  <si>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</si>
  <si>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</si>
  <si>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</si>
  <si>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</si>
  <si>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</si>
  <si>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</si>
  <si>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</si>
  <si>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</si>
  <si>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</si>
  <si>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</si>
  <si>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</si>
  <si>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</si>
  <si>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</si>
  <si>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</si>
  <si>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</si>
  <si>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</si>
  <si>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</si>
  <si>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</si>
  <si>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</si>
  <si>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</si>
  <si>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</si>
  <si>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</si>
  <si>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</si>
  <si>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</si>
  <si>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</si>
  <si>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</si>
  <si>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</si>
  <si>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</si>
  <si>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</si>
  <si>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</si>
  <si>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</si>
  <si>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</si>
  <si>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</si>
  <si>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</si>
  <si>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</si>
  <si>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</si>
  <si>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</si>
  <si>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</si>
  <si>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</si>
  <si>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</si>
  <si>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</si>
  <si>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</si>
  <si>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</si>
  <si>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</si>
  <si>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</si>
  <si>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</si>
  <si>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</si>
  <si>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</si>
  <si>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</si>
  <si>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</si>
  <si>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</si>
  <si>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</si>
  <si>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</si>
  <si>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与房产证证载一致</t>
  </si>
  <si>
    <t>住宅</t>
  </si>
  <si>
    <t>居住用地（指二类居住用地）</t>
  </si>
  <si>
    <t>元</t>
  </si>
  <si>
    <t>楼面单价</t>
  </si>
  <si>
    <t>与级别开发程度一致</t>
  </si>
  <si>
    <t>无租约</t>
  </si>
  <si>
    <t>已包含在土地取得成本中</t>
  </si>
  <si>
    <t>未包含在土地购买价格中</t>
  </si>
  <si>
    <t>60-70（含）</t>
  </si>
  <si>
    <t>住宅</t>
    <phoneticPr fontId="20" type="noConversion"/>
  </si>
  <si>
    <t>天通苑北二区</t>
    <phoneticPr fontId="4" type="noConversion"/>
  </si>
  <si>
    <t>南北</t>
  </si>
  <si>
    <t>南北</t>
    <phoneticPr fontId="20" type="noConversion"/>
  </si>
  <si>
    <t>比较法-住宅</t>
  </si>
  <si>
    <t>收益法</t>
  </si>
  <si>
    <r>
      <rPr>
        <sz val="10"/>
        <color indexed="8"/>
        <rFont val="宋体"/>
        <family val="3"/>
        <charset val="134"/>
      </rPr>
      <t>昌平区东小口镇天通北苑二区</t>
    </r>
    <r>
      <rPr>
        <sz val="10"/>
        <color indexed="8"/>
        <rFont val="Arial"/>
        <family val="2"/>
      </rPr>
      <t>38</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703</t>
    </r>
    <phoneticPr fontId="7"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</si>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</sst>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65639</xdr:colOff>
      <xdr:row>13</xdr:row>
      <xdr:rowOff>47341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95239" cy="2276191"/>
        </a:xfrm>
        <a:prstGeom prst="rect">
          <a:avLst/>
        </a:prstGeom>
      </xdr:spPr>
    </xdr:pic>
    <xdr:clientData/>
  </xdr:twoCellAnchor>
  <xdr:twoCellAnchor editAs="oneCell">
    <xdr:from>
      <xdr:col>0</xdr:col>
      <xdr:colOff>0</xdr:colOff>
      <xdr:row>14</xdr:row>
      <xdr:rowOff>0</xdr:rowOff>
    </xdr:from>
    <xdr:to>
      <xdr:col>12</xdr:col>
      <xdr:colOff>303734</xdr:colOff>
      <xdr:row>27</xdr:row>
      <xdr:rowOff>94960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400300"/>
          <a:ext cx="8533334" cy="2323810"/>
        </a:xfrm>
        <a:prstGeom prst="rect">
          <a:avLst/>
        </a:prstGeom>
      </xdr:spPr>
    </xdr:pic>
    <xdr:clientData/>
  </xdr:twoCellAnchor>
  <xdr:twoCellAnchor editAs="oneCell">
    <xdr:from>
      <xdr:col>0</xdr:col>
      <xdr:colOff>0</xdr:colOff>
      <xdr:row>28</xdr:row>
      <xdr:rowOff>0</xdr:rowOff>
    </xdr:from>
    <xdr:to>
      <xdr:col>12</xdr:col>
      <xdr:colOff>341829</xdr:colOff>
      <xdr:row>41</xdr:row>
      <xdr:rowOff>37817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800600"/>
          <a:ext cx="8571429" cy="22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估价对象为北京市房地产，为XX所有。根据《不动产权证书》[]，估价对象建筑面积为136.06平方米，（分摊）出让国有建设用地使用权面积为平方米。估价对象用途为。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2020年5月13日</v>
      </c>
    </row>
    <row r="10" spans="1:2">
      <c r="A10" s="1210" t="s">
        <v>1103</v>
      </c>
      <c r="B10" s="1197" t="str">
        <f>'预评函-1'!A13</f>
        <v>本次估价的“房地产价值”是指在正常市场情况下，在价值时点2020年5月13日，估价对象规划用途为，假定未设立法定优先受偿款下的房地产市场价值。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136.06</v>
      </c>
    </row>
    <row r="19" spans="1:2">
      <c r="A19" s="1210" t="s">
        <v>1112</v>
      </c>
      <c r="B19" s="1197">
        <f ca="1">'预评函-2（1）'!D7</f>
        <v>4024247</v>
      </c>
    </row>
    <row r="20" spans="1:2">
      <c r="A20" s="1210" t="s">
        <v>1150</v>
      </c>
      <c r="B20" s="1197" t="str">
        <f>'预评函-2（1）'!C7</f>
        <v>总价（元）</v>
      </c>
    </row>
    <row r="21" spans="1:2">
      <c r="A21" s="1210" t="s">
        <v>1113</v>
      </c>
      <c r="B21" s="1197">
        <f ca="1">'预评函-2（1）'!D9</f>
        <v>29577</v>
      </c>
    </row>
    <row r="22" spans="1:2">
      <c r="A22" s="1210" t="s">
        <v>1114</v>
      </c>
      <c r="B22" s="1197" t="str">
        <f ca="1">'预评函-2（1）'!D8</f>
        <v>肆佰零贰万肆仟贰佰肆拾柒元整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4024247</v>
      </c>
    </row>
    <row r="30" spans="1:2">
      <c r="A30" s="1210" t="s">
        <v>1120</v>
      </c>
      <c r="B30" s="1197" t="str">
        <f ca="1">'预评函-2（1）'!D16</f>
        <v>肆佰零贰万肆仟贰佰肆拾柒元整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4024247</v>
      </c>
    </row>
    <row r="38" spans="1:2">
      <c r="A38" s="1210" t="s">
        <v>1128</v>
      </c>
      <c r="B38" s="1197">
        <f ca="1">'预评函-2（2）'!E4</f>
        <v>29577</v>
      </c>
    </row>
    <row r="39" spans="1:2">
      <c r="A39" s="1210" t="s">
        <v>1129</v>
      </c>
      <c r="B39" s="1197" t="str">
        <f ca="1">'预评函-2（2）'!D5</f>
        <v>肆佰零贰万肆仟贰佰肆拾柒元整</v>
      </c>
    </row>
    <row r="40" spans="1:2">
      <c r="A40" s="1210" t="s">
        <v>1130</v>
      </c>
      <c r="B40" s="1197">
        <f ca="1">'预评函-2（2）'!F4</f>
        <v>0</v>
      </c>
    </row>
    <row r="41" spans="1:2">
      <c r="A41" s="1210" t="s">
        <v>1131</v>
      </c>
      <c r="B41" s="1197">
        <f ca="1">'预评函-2（2）'!G4</f>
        <v>0</v>
      </c>
    </row>
    <row r="42" spans="1:2" s="1207" customFormat="1" ht="15.75" thickBot="1">
      <c r="A42" s="1211" t="s">
        <v>1132</v>
      </c>
      <c r="B42" s="1199" t="str">
        <f ca="1">'预评函-2（2）'!F5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29577</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2" sqref="C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c r="C2" s="2894" t="s">
        <v>1530</v>
      </c>
      <c r="D2" s="2595">
        <v>43964</v>
      </c>
      <c r="E2" s="824"/>
      <c r="F2" s="824"/>
      <c r="G2" s="1192"/>
      <c r="H2" s="2906"/>
    </row>
    <row r="3" spans="1:17" ht="13.5" thickBot="1">
      <c r="A3" s="2596" t="s">
        <v>1531</v>
      </c>
      <c r="B3" s="2597"/>
      <c r="C3" s="2598">
        <f>SUMIF(注册房地产估价师,B3,估价师及机构信息!B3:B16)</f>
        <v>0</v>
      </c>
      <c r="D3" s="2597"/>
      <c r="E3" s="2599">
        <f>SUMIF(注册房地产估价师,D3,估价师及机构信息!B3:B16)</f>
        <v>0</v>
      </c>
      <c r="F3" s="825"/>
      <c r="G3" s="1193"/>
      <c r="H3" s="2906"/>
    </row>
    <row r="4" spans="1:17" ht="13.5" customHeight="1" thickTop="1">
      <c r="A4" s="1427" t="s">
        <v>1532</v>
      </c>
      <c r="B4" s="1428" t="s">
        <v>2729</v>
      </c>
      <c r="C4" s="2895" t="s">
        <v>1533</v>
      </c>
      <c r="D4" s="1429" t="s">
        <v>2896</v>
      </c>
      <c r="E4" s="824"/>
      <c r="F4" s="824"/>
      <c r="G4" s="1192"/>
    </row>
    <row r="5" spans="1:17">
      <c r="A5" s="1430" t="s">
        <v>1534</v>
      </c>
      <c r="B5" s="1431" t="s">
        <v>2730</v>
      </c>
      <c r="C5" s="2896" t="s">
        <v>1535</v>
      </c>
      <c r="D5" s="1433" t="s">
        <v>2897</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2898</v>
      </c>
      <c r="C6" s="2601" t="s">
        <v>2731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2899</v>
      </c>
      <c r="C7" s="1525" t="str">
        <f>IF(B7="自然人","姓名","名称")</f>
        <v>姓名</v>
      </c>
      <c r="D7" s="1438" t="s">
        <v>2730</v>
      </c>
      <c r="E7" s="825"/>
      <c r="F7" s="825"/>
      <c r="G7" s="1193"/>
    </row>
    <row r="8" spans="1:17" ht="13.5" thickTop="1">
      <c r="A8" s="3217" t="s">
        <v>1540</v>
      </c>
      <c r="B8" s="1439" t="s">
        <v>1541</v>
      </c>
      <c r="C8" s="3229" t="s">
        <v>2916</v>
      </c>
      <c r="D8" s="3230"/>
      <c r="E8" s="2604" t="s">
        <v>1542</v>
      </c>
      <c r="F8" s="2605" t="s">
        <v>1543</v>
      </c>
      <c r="G8" s="2606" t="str">
        <f>C6</f>
        <v>XX</v>
      </c>
    </row>
    <row r="9" spans="1:17" ht="25.5">
      <c r="A9" s="3217"/>
      <c r="B9" s="259" t="s">
        <v>1544</v>
      </c>
      <c r="C9" s="1431"/>
      <c r="D9" s="1440" t="s">
        <v>2900</v>
      </c>
      <c r="E9" s="2900" t="s">
        <v>1545</v>
      </c>
      <c r="F9" s="2607" t="s">
        <v>70</v>
      </c>
      <c r="G9" s="2608"/>
    </row>
    <row r="10" spans="1:17" ht="13.5" thickBot="1">
      <c r="A10" s="3217"/>
      <c r="B10" s="259" t="s">
        <v>1546</v>
      </c>
      <c r="C10" s="3231"/>
      <c r="D10" s="3232"/>
      <c r="E10" s="2901" t="s">
        <v>1547</v>
      </c>
      <c r="F10" s="2609" t="s">
        <v>426</v>
      </c>
      <c r="G10" s="2610"/>
    </row>
    <row r="11" spans="1:17" ht="13.5" thickBot="1">
      <c r="A11" s="3217"/>
      <c r="B11" s="1442" t="s">
        <v>1548</v>
      </c>
      <c r="C11" s="3233"/>
      <c r="D11" s="3234"/>
      <c r="E11" s="811"/>
      <c r="F11" s="811"/>
      <c r="G11" s="830"/>
    </row>
    <row r="12" spans="1:17" ht="24.75" thickBot="1">
      <c r="A12" s="3220" t="s">
        <v>2838</v>
      </c>
      <c r="B12" s="2902" t="s">
        <v>1549</v>
      </c>
      <c r="C12" s="808">
        <v>136.06</v>
      </c>
      <c r="D12" s="1443" t="s">
        <v>1550</v>
      </c>
      <c r="E12" s="1444" t="s">
        <v>1551</v>
      </c>
      <c r="F12" s="1445" t="s">
        <v>1552</v>
      </c>
      <c r="G12" s="830"/>
    </row>
    <row r="13" spans="1:17" ht="21" customHeight="1" thickBot="1">
      <c r="A13" s="3221"/>
      <c r="B13" s="2903" t="s">
        <v>1553</v>
      </c>
      <c r="C13" s="809"/>
      <c r="D13" s="1446" t="s">
        <v>1554</v>
      </c>
      <c r="E13" s="1447" t="s">
        <v>1551</v>
      </c>
      <c r="F13" s="811"/>
      <c r="G13" s="830"/>
      <c r="I13" s="3206"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2839</v>
      </c>
      <c r="C14" s="2612"/>
      <c r="D14" s="811"/>
      <c r="E14" s="811"/>
      <c r="F14" s="811"/>
      <c r="G14" s="830"/>
      <c r="I14" s="3206"/>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2.5</v>
      </c>
      <c r="D15" s="825"/>
      <c r="E15" s="825"/>
      <c r="F15" s="825"/>
      <c r="G15" s="1193"/>
      <c r="I15" s="3206"/>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35" t="s">
        <v>1561</v>
      </c>
      <c r="C17" s="3236"/>
      <c r="D17" s="3237" t="s">
        <v>1562</v>
      </c>
      <c r="E17" s="3238"/>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16" t="s">
        <v>2837</v>
      </c>
      <c r="B24" s="3216"/>
      <c r="C24" s="3216"/>
      <c r="D24" s="3216"/>
      <c r="E24" s="3216"/>
      <c r="F24" s="3216"/>
      <c r="G24" s="3216"/>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23" t="s">
        <v>1578</v>
      </c>
      <c r="D28" s="3224"/>
      <c r="E28" s="801"/>
      <c r="F28" s="803" t="s">
        <v>1578</v>
      </c>
      <c r="G28" s="801"/>
      <c r="K28" s="2907"/>
    </row>
    <row r="29" spans="1:66">
      <c r="A29" s="804" t="s">
        <v>1579</v>
      </c>
      <c r="B29" s="798"/>
      <c r="C29" s="3225" t="s">
        <v>1580</v>
      </c>
      <c r="D29" s="3226"/>
      <c r="E29" s="798"/>
      <c r="F29" s="804" t="s">
        <v>1580</v>
      </c>
      <c r="G29" s="798"/>
      <c r="K29" s="2907"/>
    </row>
    <row r="30" spans="1:66">
      <c r="A30" s="804" t="s">
        <v>1581</v>
      </c>
      <c r="B30" s="798"/>
      <c r="C30" s="3225" t="s">
        <v>1581</v>
      </c>
      <c r="D30" s="3226"/>
      <c r="E30" s="798"/>
      <c r="F30" s="804" t="s">
        <v>1582</v>
      </c>
      <c r="G30" s="798"/>
      <c r="K30" s="2907"/>
    </row>
    <row r="31" spans="1:66">
      <c r="A31" s="804" t="s">
        <v>1583</v>
      </c>
      <c r="B31" s="798"/>
      <c r="C31" s="3213" t="s">
        <v>1584</v>
      </c>
      <c r="D31" s="811"/>
      <c r="E31" s="2630" t="str">
        <f>E32&amp;" "&amp;E33&amp;" "&amp;E34&amp;" "&amp;E35</f>
        <v xml:space="preserve">   </v>
      </c>
      <c r="F31" s="804" t="s">
        <v>1585</v>
      </c>
      <c r="G31" s="798"/>
    </row>
    <row r="32" spans="1:66">
      <c r="A32" s="804" t="s">
        <v>1586</v>
      </c>
      <c r="B32" s="798"/>
      <c r="C32" s="3214"/>
      <c r="D32" s="259" t="s">
        <v>1587</v>
      </c>
      <c r="E32" s="798"/>
      <c r="F32" s="804" t="s">
        <v>1588</v>
      </c>
      <c r="G32" s="798"/>
    </row>
    <row r="33" spans="1:7" ht="24.75" thickBot="1">
      <c r="A33" s="805" t="s">
        <v>1589</v>
      </c>
      <c r="B33" s="802"/>
      <c r="C33" s="3214"/>
      <c r="D33" s="259" t="s">
        <v>1590</v>
      </c>
      <c r="E33" s="798"/>
      <c r="F33" s="804" t="s">
        <v>1591</v>
      </c>
      <c r="G33" s="798"/>
    </row>
    <row r="34" spans="1:7">
      <c r="A34" s="803" t="s">
        <v>1592</v>
      </c>
      <c r="B34" s="801"/>
      <c r="C34" s="3214"/>
      <c r="D34" s="259" t="s">
        <v>1593</v>
      </c>
      <c r="E34" s="798"/>
      <c r="F34" s="804" t="s">
        <v>1594</v>
      </c>
      <c r="G34" s="798"/>
    </row>
    <row r="35" spans="1:7" ht="13.5" thickBot="1">
      <c r="A35" s="804" t="s">
        <v>1595</v>
      </c>
      <c r="B35" s="798"/>
      <c r="C35" s="3215"/>
      <c r="D35" s="259" t="s">
        <v>1596</v>
      </c>
      <c r="E35" s="798"/>
      <c r="F35" s="805" t="s">
        <v>1597</v>
      </c>
      <c r="G35" s="2631"/>
    </row>
    <row r="36" spans="1:7">
      <c r="A36" s="804" t="s">
        <v>1549</v>
      </c>
      <c r="B36" s="798"/>
      <c r="C36" s="3225" t="s">
        <v>1598</v>
      </c>
      <c r="D36" s="3226"/>
      <c r="E36" s="798"/>
      <c r="F36" s="2632" t="s">
        <v>1599</v>
      </c>
      <c r="G36" s="801"/>
    </row>
    <row r="37" spans="1:7" ht="13.5" thickBot="1">
      <c r="A37" s="804" t="s">
        <v>1600</v>
      </c>
      <c r="B37" s="798"/>
      <c r="C37" s="3227" t="s">
        <v>1601</v>
      </c>
      <c r="D37" s="3228"/>
      <c r="E37" s="802"/>
      <c r="F37" s="1463" t="s">
        <v>1602</v>
      </c>
      <c r="G37" s="798"/>
    </row>
    <row r="38" spans="1:7" ht="13.5" thickBot="1">
      <c r="A38" s="804" t="s">
        <v>1603</v>
      </c>
      <c r="B38" s="798"/>
      <c r="C38" s="3211" t="s">
        <v>1604</v>
      </c>
      <c r="D38" s="1443" t="s">
        <v>1588</v>
      </c>
      <c r="E38" s="801"/>
      <c r="F38" s="805" t="s">
        <v>1605</v>
      </c>
      <c r="G38" s="802"/>
    </row>
    <row r="39" spans="1:7">
      <c r="A39" s="804" t="s">
        <v>1606</v>
      </c>
      <c r="B39" s="798"/>
      <c r="C39" s="3218"/>
      <c r="D39" s="259" t="s">
        <v>1595</v>
      </c>
      <c r="E39" s="798"/>
      <c r="F39" s="803" t="s">
        <v>1607</v>
      </c>
      <c r="G39" s="801"/>
    </row>
    <row r="40" spans="1:7">
      <c r="A40" s="804" t="s">
        <v>1608</v>
      </c>
      <c r="B40" s="798"/>
      <c r="C40" s="3218" t="s">
        <v>1609</v>
      </c>
      <c r="D40" s="259" t="s">
        <v>1549</v>
      </c>
      <c r="E40" s="798"/>
      <c r="F40" s="804" t="s">
        <v>1610</v>
      </c>
      <c r="G40" s="798"/>
    </row>
    <row r="41" spans="1:7" ht="24.75" customHeight="1" thickBot="1">
      <c r="A41" s="805" t="s">
        <v>1611</v>
      </c>
      <c r="B41" s="802"/>
      <c r="C41" s="3219"/>
      <c r="D41" s="1446" t="s">
        <v>1553</v>
      </c>
      <c r="E41" s="802"/>
      <c r="F41" s="805" t="s">
        <v>1612</v>
      </c>
      <c r="G41" s="802"/>
    </row>
    <row r="42" spans="1:7">
      <c r="A42" s="806" t="s">
        <v>1613</v>
      </c>
      <c r="B42" s="2633"/>
      <c r="C42" s="3207" t="s">
        <v>1613</v>
      </c>
      <c r="D42" s="3208"/>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09" t="s">
        <v>1616</v>
      </c>
      <c r="D49" s="3210"/>
      <c r="E49" s="820"/>
      <c r="F49" s="805" t="s">
        <v>1617</v>
      </c>
      <c r="G49" s="802"/>
    </row>
    <row r="50" spans="1:66">
      <c r="A50" s="804" t="s">
        <v>1618</v>
      </c>
      <c r="B50" s="819"/>
      <c r="C50" s="3211" t="s">
        <v>1619</v>
      </c>
      <c r="D50" s="3212"/>
      <c r="E50" s="2635"/>
      <c r="F50" s="837"/>
      <c r="G50" s="838"/>
    </row>
    <row r="51" spans="1:66" ht="13.5" thickBot="1">
      <c r="A51" s="804" t="s">
        <v>1620</v>
      </c>
      <c r="B51" s="819"/>
      <c r="C51" s="3219" t="s">
        <v>1621</v>
      </c>
      <c r="D51" s="3222"/>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39" t="s">
        <v>0</v>
      </c>
      <c r="B1" s="3239" t="s">
        <v>2</v>
      </c>
      <c r="C1" s="3239" t="s">
        <v>3</v>
      </c>
      <c r="D1" s="3240" t="s">
        <v>67</v>
      </c>
      <c r="E1" s="3240" t="s">
        <v>68</v>
      </c>
      <c r="F1" s="3240"/>
      <c r="G1" s="3240"/>
      <c r="H1" s="3240"/>
      <c r="I1" s="3240"/>
      <c r="J1" s="3240"/>
      <c r="K1" s="3240"/>
      <c r="L1" s="3240"/>
      <c r="M1" s="3240"/>
    </row>
    <row r="2" spans="1:13" ht="27" customHeight="1">
      <c r="A2" s="3239"/>
      <c r="B2" s="3239"/>
      <c r="C2" s="3239"/>
      <c r="D2" s="3240"/>
      <c r="E2" s="3240" t="s">
        <v>51</v>
      </c>
      <c r="F2" s="3240" t="s">
        <v>52</v>
      </c>
      <c r="G2" s="3240"/>
      <c r="H2" s="3240"/>
      <c r="I2" s="3240"/>
      <c r="J2" s="3240" t="s">
        <v>53</v>
      </c>
      <c r="K2" s="3240"/>
      <c r="L2" s="3240"/>
      <c r="M2" s="3240"/>
    </row>
    <row r="3" spans="1:13" ht="28.5">
      <c r="A3" s="3239"/>
      <c r="B3" s="3239"/>
      <c r="C3" s="3239"/>
      <c r="D3" s="3240"/>
      <c r="E3" s="32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0" t="s">
        <v>69</v>
      </c>
      <c r="B9" s="3240"/>
      <c r="C9" s="32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1"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43964</v>
      </c>
      <c r="C2" s="1685"/>
      <c r="D2" s="3241"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2903</v>
      </c>
      <c r="C3" s="1685"/>
      <c r="D3" s="3242"/>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2904</v>
      </c>
      <c r="C4" s="1685"/>
      <c r="D4" s="3242"/>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136.06</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2901</v>
      </c>
      <c r="C10" s="1685"/>
      <c r="D10" s="2926" t="s">
        <v>1634</v>
      </c>
      <c r="E10" s="2930" t="s">
        <v>1635</v>
      </c>
      <c r="F10" s="3095"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200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v>69530</v>
      </c>
      <c r="C12" s="1685"/>
      <c r="D12" s="2933" t="s">
        <v>1640</v>
      </c>
      <c r="E12" s="2655">
        <v>160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70</v>
      </c>
      <c r="C13" s="2970"/>
      <c r="D13" s="2936" t="s">
        <v>1642</v>
      </c>
      <c r="E13" s="2656">
        <f>成本法!C9</f>
        <v>27212</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1</v>
      </c>
      <c r="C14" s="1685"/>
      <c r="D14" s="2938" t="s">
        <v>1645</v>
      </c>
      <c r="E14" s="2657"/>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0.05</v>
      </c>
      <c r="C15" s="2566" t="s">
        <v>2849</v>
      </c>
      <c r="D15" s="2933" t="s">
        <v>1647</v>
      </c>
      <c r="E15" s="2939">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0.06</v>
      </c>
      <c r="C16" s="2566" t="s">
        <v>2850</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2847</v>
      </c>
      <c r="B17" s="3093">
        <v>7.0000000000000007E-2</v>
      </c>
      <c r="C17" s="2566" t="s">
        <v>2851</v>
      </c>
      <c r="D17" s="2929" t="s">
        <v>1651</v>
      </c>
      <c r="E17" s="2660">
        <f>2220+500</f>
        <v>2720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6.5000000000000002E-2</v>
      </c>
      <c r="C18" s="1685"/>
      <c r="D18" s="2942" t="str">
        <f>IF(B26=0,"建安总额","在建建安")</f>
        <v>建安总额</v>
      </c>
      <c r="E18" s="2943">
        <f>ROUND(B5*E17*IF(B26=0,1,E20),0)</f>
        <v>370083</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0.1</v>
      </c>
      <c r="F22" s="2676"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2856</v>
      </c>
      <c r="I25" s="2971"/>
    </row>
    <row r="26" spans="1:41" ht="15" thickBot="1">
      <c r="A26" s="2949" t="s">
        <v>1662</v>
      </c>
      <c r="B26" s="2953">
        <f>B22-B23</f>
        <v>0</v>
      </c>
      <c r="D26" s="2933" t="s">
        <v>1665</v>
      </c>
      <c r="E26" s="2668">
        <v>0.02</v>
      </c>
      <c r="F26" s="2676" t="s">
        <v>2856</v>
      </c>
      <c r="G26" s="2972"/>
      <c r="H26" s="2972"/>
      <c r="I26" s="1685"/>
      <c r="J26" s="1685"/>
      <c r="K26" s="1685"/>
      <c r="L26" s="1685"/>
      <c r="M26" s="1685"/>
      <c r="N26" s="1685"/>
    </row>
    <row r="27" spans="1:41" ht="15.75" thickBot="1">
      <c r="A27" s="2954" t="s">
        <v>1664</v>
      </c>
      <c r="B27" s="2670"/>
      <c r="C27" s="1685"/>
      <c r="D27" s="2933" t="s">
        <v>1666</v>
      </c>
      <c r="E27" s="2955">
        <f ca="1">存贷款利率!G1</f>
        <v>4.7500000000000001E-2</v>
      </c>
      <c r="F27" s="2666" t="s">
        <v>1667</v>
      </c>
      <c r="G27" s="2972"/>
      <c r="H27" s="2972"/>
      <c r="K27" s="1685"/>
      <c r="N27" s="1685"/>
    </row>
    <row r="28" spans="1:41" ht="15" thickBot="1">
      <c r="A28" s="947"/>
      <c r="B28" s="947"/>
      <c r="D28" s="2936" t="s">
        <v>1669</v>
      </c>
      <c r="E28" s="2672">
        <v>0.25</v>
      </c>
      <c r="G28" s="2972"/>
      <c r="H28" s="2972"/>
      <c r="K28" s="1685"/>
      <c r="N28" s="1685"/>
    </row>
    <row r="29" spans="1:41" ht="14.25">
      <c r="A29" s="2956" t="s">
        <v>1668</v>
      </c>
      <c r="B29" s="2671" t="s">
        <v>2906</v>
      </c>
      <c r="D29" s="2938" t="s">
        <v>1670</v>
      </c>
      <c r="E29" s="2957">
        <f>E30+E31</f>
        <v>5.6000000000000001E-2</v>
      </c>
      <c r="F29" s="1310"/>
      <c r="G29" s="2972"/>
      <c r="H29" s="2972"/>
      <c r="K29" s="1685"/>
      <c r="N29" s="1685"/>
    </row>
    <row r="30" spans="1:41" ht="14.25">
      <c r="A30" s="2933" t="str">
        <f>IF(B29="租赁期内按合同租金","合同租金","市场租金")</f>
        <v>市场租金</v>
      </c>
      <c r="B30" s="2673">
        <v>63</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0.03</v>
      </c>
      <c r="D32" s="2940" t="s">
        <v>1676</v>
      </c>
      <c r="E32" s="2675">
        <v>7.0000000000000007E-2</v>
      </c>
      <c r="F32" s="2676" t="s">
        <v>2742</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70</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f>项目基本情况!C12</f>
        <v>136.06</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1.4999999999999999E-2</v>
      </c>
      <c r="C45" s="2566" t="s">
        <v>2854</v>
      </c>
      <c r="D45" s="2686" t="s">
        <v>1703</v>
      </c>
      <c r="E45" s="2673"/>
      <c r="F45" s="1311">
        <v>12</v>
      </c>
      <c r="G45" s="2678"/>
      <c r="H45" s="2678"/>
      <c r="M45" s="1685"/>
      <c r="N45" s="1685"/>
    </row>
    <row r="46" spans="1:14" ht="14.25">
      <c r="A46" s="2933" t="s">
        <v>1702</v>
      </c>
      <c r="B46" s="2688">
        <v>1.5E-3</v>
      </c>
      <c r="C46" s="2566" t="s">
        <v>2852</v>
      </c>
      <c r="D46" s="2686" t="s">
        <v>1457</v>
      </c>
      <c r="E46" s="2673"/>
      <c r="F46" s="1311">
        <v>3</v>
      </c>
      <c r="G46" s="2678"/>
      <c r="H46" s="2678"/>
      <c r="M46" s="1685"/>
      <c r="N46" s="1685"/>
    </row>
    <row r="47" spans="1:14" ht="15" thickBot="1">
      <c r="A47" s="2936" t="s">
        <v>1704</v>
      </c>
      <c r="B47" s="2689">
        <v>0.01</v>
      </c>
      <c r="C47" s="2566" t="s">
        <v>2853</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43" t="s">
        <v>1710</v>
      </c>
      <c r="B1" s="3244"/>
      <c r="C1" s="3244"/>
      <c r="D1" s="3244"/>
      <c r="E1" s="3244"/>
      <c r="F1" s="3244"/>
      <c r="G1" s="3244"/>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2859</v>
      </c>
      <c r="D2" s="3105"/>
      <c r="E2" s="3102"/>
      <c r="F2" s="3106"/>
      <c r="G2" s="3104" t="s">
        <v>2860</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2861</v>
      </c>
      <c r="B3" s="3109" t="s">
        <v>2862</v>
      </c>
      <c r="C3" s="3110" t="s">
        <v>2863</v>
      </c>
      <c r="D3" s="3111"/>
      <c r="E3" s="3112" t="s">
        <v>2861</v>
      </c>
      <c r="F3" s="3113" t="s">
        <v>2864</v>
      </c>
      <c r="G3" s="3114"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2866</v>
      </c>
      <c r="C4" s="3115" t="s">
        <v>2867</v>
      </c>
      <c r="D4" s="3111"/>
      <c r="E4" s="3116"/>
      <c r="F4" s="3098" t="s">
        <v>2868</v>
      </c>
      <c r="G4" s="3117"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2870</v>
      </c>
      <c r="C5" s="3115" t="s">
        <v>2871</v>
      </c>
      <c r="D5" s="3111"/>
      <c r="E5" s="3116"/>
      <c r="F5" s="3096" t="s">
        <v>2872</v>
      </c>
      <c r="G5" s="3117"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2874</v>
      </c>
      <c r="C6" s="3117" t="s">
        <v>2869</v>
      </c>
      <c r="D6" s="3111"/>
      <c r="E6" s="3116"/>
      <c r="F6" s="3096" t="s">
        <v>2875</v>
      </c>
      <c r="G6" s="3117"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2872</v>
      </c>
      <c r="C7" s="3117" t="s">
        <v>2873</v>
      </c>
      <c r="D7" s="2985"/>
      <c r="E7" s="3118"/>
      <c r="F7" s="3119" t="s">
        <v>2877</v>
      </c>
      <c r="G7" s="3120"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2875</v>
      </c>
      <c r="C8" s="3117" t="s">
        <v>2876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2879</v>
      </c>
      <c r="C9" s="3115" t="s">
        <v>2880</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2881</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2882</v>
      </c>
      <c r="D14" s="3111"/>
      <c r="E14" s="3129"/>
      <c r="F14" s="3129"/>
      <c r="G14" s="3104" t="s">
        <v>2883</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2884</v>
      </c>
      <c r="B15" s="3134" t="s">
        <v>2862</v>
      </c>
      <c r="C15" s="3135" t="str">
        <f>C3</f>
        <v>估价对象周边居住用地比例、居住小区规模和社区发展完善程度，综合评价居住社区成熟度一般</v>
      </c>
      <c r="D15" s="3111"/>
      <c r="E15" s="3136" t="s">
        <v>2885</v>
      </c>
      <c r="F15" s="3134" t="s">
        <v>2886</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2866</v>
      </c>
      <c r="C16" s="3139" t="str">
        <f>C4</f>
        <v>估价对象位于XX商圈，周边商业氛围成熟，人流量大，商业繁华度好</v>
      </c>
      <c r="D16" s="3111"/>
      <c r="E16" s="3140"/>
      <c r="F16" s="3097" t="s">
        <v>2868</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2870</v>
      </c>
      <c r="C17" s="3139" t="str">
        <f>C5</f>
        <v>估价对象位于XX商圈，周边办公楼项目较多，入驻率高，办公集聚程度较好</v>
      </c>
      <c r="D17" s="2985"/>
      <c r="E17" s="3140"/>
      <c r="F17" s="3097" t="s">
        <v>2887</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2874</v>
      </c>
      <c r="C18" s="3141" t="str">
        <f>C6</f>
        <v>估价对象周边道路状况、公共交通通达情况、停车便捷程度，综合评价交通便捷度较好</v>
      </c>
      <c r="D18" s="2985"/>
      <c r="E18" s="3140"/>
      <c r="F18" s="3097" t="s">
        <v>2877</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2888</v>
      </c>
      <c r="C19" s="3142"/>
      <c r="D19" s="3111"/>
      <c r="E19" s="3140"/>
      <c r="F19" s="3096" t="s">
        <v>2872</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2889</v>
      </c>
      <c r="C20" s="3139" t="str">
        <f>C9</f>
        <v>区域自然环境：；人文环境；综合评价环境状况一般</v>
      </c>
      <c r="D20" s="2985"/>
      <c r="E20" s="3140"/>
      <c r="F20" s="3096" t="s">
        <v>2875</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2872</v>
      </c>
      <c r="C21" s="3141" t="str">
        <f>C7</f>
        <v>估价对象所在区域公共配套设施齐备情况</v>
      </c>
      <c r="D21" s="3111"/>
      <c r="E21" s="3140"/>
      <c r="F21" s="3097" t="s">
        <v>2890</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2875</v>
      </c>
      <c r="C22" s="3141" t="str">
        <f>C8</f>
        <v>估价对象所在区域基础设施水平</v>
      </c>
      <c r="D22" s="3111"/>
      <c r="E22" s="3140"/>
      <c r="F22" s="3097" t="s">
        <v>2881</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2890</v>
      </c>
      <c r="C23" s="3143"/>
      <c r="D23" s="3130"/>
      <c r="E23" s="3145"/>
      <c r="F23" s="3099" t="s">
        <v>2891</v>
      </c>
      <c r="G23" s="3146"/>
      <c r="H23" s="3130"/>
      <c r="I23" s="3131"/>
      <c r="J23" s="3130"/>
      <c r="K23" s="3130"/>
      <c r="L23" s="3131"/>
      <c r="M23" s="3130"/>
      <c r="N23" s="3130"/>
      <c r="O23" s="3131"/>
      <c r="P23" s="3130"/>
      <c r="Q23" s="3130"/>
      <c r="R23" s="3132"/>
    </row>
    <row r="24" spans="1:29" s="3107" customFormat="1" ht="13.5" thickBot="1">
      <c r="A24" s="3147"/>
      <c r="B24" s="3099" t="s">
        <v>2892</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34" sqref="D34"/>
    </sheetView>
  </sheetViews>
  <sheetFormatPr defaultColWidth="14.625" defaultRowHeight="13.5"/>
  <cols>
    <col min="1" max="1" width="24.375" style="2586" customWidth="1"/>
    <col min="2" max="16384" width="14.625" style="2586"/>
  </cols>
  <sheetData>
    <row r="1" spans="1:9" ht="16.5">
      <c r="A1" s="2584" t="s">
        <v>1212</v>
      </c>
      <c r="B1" s="2584">
        <f>SUM(B14:B23)</f>
        <v>136.06</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43964</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402.42469999999997</v>
      </c>
      <c r="C5" s="2584">
        <f ca="1">ROUND(B5*10000/$B$1,0)</f>
        <v>29577</v>
      </c>
      <c r="D5" s="2584" t="e">
        <f ca="1">ROUND(B5*10000/$B$2,0)</f>
        <v>#DIV/0!</v>
      </c>
      <c r="E5" s="1634"/>
      <c r="F5" s="2585"/>
      <c r="G5" s="2585"/>
    </row>
    <row r="6" spans="1:9" ht="16.5">
      <c r="A6" s="2584" t="s">
        <v>1220</v>
      </c>
      <c r="B6" s="2584">
        <f ca="1">SUM(G14:G23)</f>
        <v>402.42469999999997</v>
      </c>
      <c r="C6" s="2584">
        <f t="shared" ref="C6:C8" ca="1" si="0">ROUND(B6*10000/$B$1,0)</f>
        <v>29577</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2917</v>
      </c>
      <c r="B14" s="2920">
        <f>项目基本情况!C12</f>
        <v>136.06</v>
      </c>
      <c r="C14" s="2920">
        <f>项目基本情况!C13</f>
        <v>0</v>
      </c>
      <c r="D14" s="2920">
        <f ca="1">IF('数据-取费表'!B3="万元",IF(A14="估价对象1（结果表）",结果表!H121,'结果表 (1修多)'!H125),IF(A14="估价对象1（结果表）",结果表!H121,'结果表 (1修多)'!H125)/10000)</f>
        <v>402.42469999999997</v>
      </c>
      <c r="E14" s="2920">
        <f ca="1">ROUND(D14*10000/B14,0)</f>
        <v>29577</v>
      </c>
      <c r="F14" s="2920" t="e">
        <f ca="1">ROUND(D14*10000/C14,0)</f>
        <v>#DIV/0!</v>
      </c>
      <c r="G14" s="2920">
        <f ca="1">IF('数据-取费表'!B3="万元",IF(A14="估价对象1（结果表）",结果表!D125,'结果表 (1修多)'!D129),IF(A14="估价对象1（结果表）",结果表!D125,'结果表 (1修多)'!D129)/10000)</f>
        <v>402.42469999999997</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00" t="str">
        <f>项目基本情况!B1</f>
        <v>北京市房地产市场价值预评估</v>
      </c>
      <c r="B2" s="3300"/>
      <c r="C2" s="3300"/>
      <c r="D2" s="3300"/>
      <c r="E2" s="3300"/>
      <c r="F2" s="3300"/>
      <c r="G2" s="3300"/>
      <c r="H2" s="3300"/>
      <c r="I2" s="3300"/>
      <c r="J2" s="2847"/>
    </row>
    <row r="3" spans="1:15" ht="12.75">
      <c r="A3" s="3303" t="s">
        <v>1718</v>
      </c>
      <c r="B3" s="3304"/>
      <c r="C3" s="3304"/>
      <c r="D3" s="3304"/>
      <c r="E3" s="3304"/>
      <c r="F3" s="3304"/>
      <c r="G3" s="3304"/>
      <c r="H3" s="3304"/>
      <c r="I3" s="3304"/>
      <c r="J3" s="2848"/>
    </row>
    <row r="4" spans="1:15" ht="14.25">
      <c r="A4" s="2716" t="s">
        <v>1719</v>
      </c>
      <c r="B4" s="2716" t="s">
        <v>1720</v>
      </c>
      <c r="C4" s="2717" t="s">
        <v>2914</v>
      </c>
      <c r="D4" s="2717" t="s">
        <v>2915</v>
      </c>
      <c r="E4" s="3249" t="s">
        <v>1721</v>
      </c>
      <c r="F4" s="3287"/>
      <c r="G4" s="3287"/>
      <c r="H4" s="3287"/>
      <c r="I4" s="3288"/>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80" t="s">
        <v>1722</v>
      </c>
      <c r="B5" s="3280">
        <v>25</v>
      </c>
      <c r="C5" s="3289">
        <v>7</v>
      </c>
      <c r="D5" s="3302">
        <f>10-C5</f>
        <v>3</v>
      </c>
      <c r="E5" s="12" t="s">
        <v>1723</v>
      </c>
      <c r="F5" s="2089"/>
      <c r="G5" s="2089"/>
      <c r="H5" s="2089"/>
      <c r="I5" s="2084"/>
      <c r="J5" s="2849"/>
    </row>
    <row r="6" spans="1:15" ht="12.75">
      <c r="A6" s="3280"/>
      <c r="B6" s="3280"/>
      <c r="C6" s="3305"/>
      <c r="D6" s="3302"/>
      <c r="E6" s="12" t="s">
        <v>1724</v>
      </c>
      <c r="F6" s="2089"/>
      <c r="G6" s="2089"/>
      <c r="H6" s="2089"/>
      <c r="I6" s="2084"/>
      <c r="J6" s="2849"/>
    </row>
    <row r="7" spans="1:15" ht="12.75">
      <c r="A7" s="3280"/>
      <c r="B7" s="3280"/>
      <c r="C7" s="3290"/>
      <c r="D7" s="3302"/>
      <c r="E7" s="12" t="s">
        <v>1725</v>
      </c>
      <c r="F7" s="2089"/>
      <c r="G7" s="2089"/>
      <c r="H7" s="2089"/>
      <c r="I7" s="2084"/>
      <c r="J7" s="2849"/>
    </row>
    <row r="8" spans="1:15" ht="12.75">
      <c r="A8" s="3280" t="s">
        <v>1726</v>
      </c>
      <c r="B8" s="3280">
        <v>15</v>
      </c>
      <c r="C8" s="3289"/>
      <c r="D8" s="3302"/>
      <c r="E8" s="12" t="s">
        <v>1727</v>
      </c>
      <c r="F8" s="2089"/>
      <c r="G8" s="2089"/>
      <c r="H8" s="2089"/>
      <c r="I8" s="2084"/>
      <c r="J8" s="2849"/>
    </row>
    <row r="9" spans="1:15" ht="12.75">
      <c r="A9" s="3280"/>
      <c r="B9" s="3280"/>
      <c r="C9" s="3290"/>
      <c r="D9" s="3302"/>
      <c r="E9" s="12" t="s">
        <v>1728</v>
      </c>
      <c r="F9" s="2089"/>
      <c r="G9" s="2089"/>
      <c r="H9" s="2089"/>
      <c r="I9" s="2084"/>
      <c r="J9" s="2849"/>
    </row>
    <row r="10" spans="1:15" ht="12.75">
      <c r="A10" s="3280" t="s">
        <v>1729</v>
      </c>
      <c r="B10" s="3280">
        <v>15</v>
      </c>
      <c r="C10" s="3289"/>
      <c r="D10" s="3302"/>
      <c r="E10" s="12" t="s">
        <v>1730</v>
      </c>
      <c r="F10" s="2089"/>
      <c r="G10" s="2089"/>
      <c r="H10" s="2089"/>
      <c r="I10" s="2084"/>
      <c r="J10" s="2849"/>
    </row>
    <row r="11" spans="1:15" ht="12.75">
      <c r="A11" s="3280"/>
      <c r="B11" s="3280"/>
      <c r="C11" s="3290"/>
      <c r="D11" s="3302"/>
      <c r="E11" s="12" t="s">
        <v>1731</v>
      </c>
      <c r="F11" s="2089"/>
      <c r="G11" s="2089"/>
      <c r="H11" s="2089"/>
      <c r="I11" s="2084"/>
      <c r="J11" s="2849"/>
    </row>
    <row r="12" spans="1:15" ht="12.75">
      <c r="A12" s="3280" t="s">
        <v>1732</v>
      </c>
      <c r="B12" s="3280">
        <v>15</v>
      </c>
      <c r="C12" s="3289"/>
      <c r="D12" s="3302"/>
      <c r="E12" s="12" t="s">
        <v>1733</v>
      </c>
      <c r="F12" s="2089"/>
      <c r="G12" s="2089"/>
      <c r="H12" s="2089"/>
      <c r="I12" s="2084"/>
      <c r="J12" s="2849"/>
    </row>
    <row r="13" spans="1:15" ht="12.75">
      <c r="A13" s="3280"/>
      <c r="B13" s="3280"/>
      <c r="C13" s="3290"/>
      <c r="D13" s="3302"/>
      <c r="E13" s="12" t="s">
        <v>1734</v>
      </c>
      <c r="F13" s="2089"/>
      <c r="G13" s="2089"/>
      <c r="H13" s="2089"/>
      <c r="I13" s="2084"/>
      <c r="J13" s="2849"/>
    </row>
    <row r="14" spans="1:15" ht="12.75">
      <c r="A14" s="3280" t="s">
        <v>1735</v>
      </c>
      <c r="B14" s="3280">
        <v>30</v>
      </c>
      <c r="C14" s="3289"/>
      <c r="D14" s="3302"/>
      <c r="E14" s="12" t="s">
        <v>1736</v>
      </c>
      <c r="F14" s="2089"/>
      <c r="G14" s="2089"/>
      <c r="H14" s="2089"/>
      <c r="I14" s="2084"/>
      <c r="J14" s="2849"/>
    </row>
    <row r="15" spans="1:15" ht="12.75">
      <c r="A15" s="3280"/>
      <c r="B15" s="3280"/>
      <c r="C15" s="3305"/>
      <c r="D15" s="3302"/>
      <c r="E15" s="12" t="s">
        <v>1737</v>
      </c>
      <c r="F15" s="2089"/>
      <c r="G15" s="2089"/>
      <c r="H15" s="2089"/>
      <c r="I15" s="2084"/>
      <c r="J15" s="2849"/>
    </row>
    <row r="16" spans="1:15" ht="12.75">
      <c r="A16" s="3280"/>
      <c r="B16" s="3280"/>
      <c r="C16" s="3290"/>
      <c r="D16" s="3302"/>
      <c r="E16" s="12" t="s">
        <v>1738</v>
      </c>
      <c r="F16" s="2089"/>
      <c r="G16" s="2089"/>
      <c r="H16" s="2089"/>
      <c r="I16" s="2084"/>
      <c r="J16" s="2849"/>
    </row>
    <row r="17" spans="1:36" ht="15">
      <c r="A17" s="2718" t="s">
        <v>1739</v>
      </c>
      <c r="B17" s="2094"/>
      <c r="C17" s="2719">
        <f>SUM(C5:C16)</f>
        <v>7</v>
      </c>
      <c r="D17" s="2719">
        <f>SUM(D5:D16)</f>
        <v>3</v>
      </c>
      <c r="E17" s="2566"/>
      <c r="F17" s="2566"/>
      <c r="G17" s="2566"/>
      <c r="H17" s="2566"/>
      <c r="I17" s="2566"/>
      <c r="J17" s="2850"/>
    </row>
    <row r="18" spans="1:36" ht="30" customHeight="1" thickBot="1">
      <c r="A18" s="2720" t="s">
        <v>1740</v>
      </c>
      <c r="B18" s="2721"/>
      <c r="C18" s="2722">
        <f>ROUND(C17/SUM(C17:D17),2)</f>
        <v>0.7</v>
      </c>
      <c r="D18" s="2722">
        <f>1-C18</f>
        <v>0.30000000000000004</v>
      </c>
      <c r="E18" s="3298" t="s">
        <v>2827</v>
      </c>
      <c r="F18" s="3299"/>
      <c r="G18" s="3299"/>
      <c r="H18" s="3299"/>
      <c r="I18" s="3299"/>
      <c r="J18" s="2850"/>
    </row>
    <row r="19" spans="1:36" ht="15">
      <c r="A19" s="2723" t="s">
        <v>1741</v>
      </c>
      <c r="B19" s="2724" t="s">
        <v>1742</v>
      </c>
      <c r="C19" s="2725">
        <f ca="1">SUMIF(INDIRECT("'"&amp;C4&amp;"'"&amp;"!A:A"),结果表!B19,INDIRECT("'"&amp;C4&amp;"'"&amp;"!B:B"))</f>
        <v>4761148</v>
      </c>
      <c r="D19" s="2726">
        <f ca="1">SUMIF(INDIRECT("'"&amp;D4&amp;"'"&amp;"!A:A"),结果表!B19,INDIRECT("'"&amp;D4&amp;"'"&amp;"!B:B"))</f>
        <v>2304554</v>
      </c>
      <c r="E19" s="2723" t="s">
        <v>1743</v>
      </c>
      <c r="F19" s="2724" t="s">
        <v>1742</v>
      </c>
      <c r="G19" s="2727">
        <f ca="1">ROUND(C19*$C$18+D19*$D$18,0)</f>
        <v>4024170</v>
      </c>
      <c r="H19" s="2728" t="str">
        <f>'数据-取费表'!B3</f>
        <v>元</v>
      </c>
      <c r="I19" s="2776"/>
      <c r="J19" s="2851"/>
    </row>
    <row r="20" spans="1:36" ht="15">
      <c r="A20" s="2729"/>
      <c r="B20" s="1694" t="s">
        <v>1744</v>
      </c>
      <c r="C20" s="1919">
        <f ca="1">SUMIF(INDIRECT("'"&amp;C4&amp;"'"&amp;"!A:A"),结果表!B20,INDIRECT("'"&amp;C4&amp;"'"&amp;"!B:B"))</f>
        <v>34993</v>
      </c>
      <c r="D20" s="1922">
        <f ca="1">SUMIF(INDIRECT("'"&amp;D4&amp;"'"&amp;"!A:A"),结果表!B20,INDIRECT("'"&amp;D4&amp;"'"&amp;"!B:B"))</f>
        <v>16938</v>
      </c>
      <c r="E20" s="2729"/>
      <c r="F20" s="1694" t="s">
        <v>1744</v>
      </c>
      <c r="G20" s="2093">
        <f ca="1">ROUND(C20*$C$18+D20*$D$18,0)</f>
        <v>29577</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1.0659737198607626</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291" t="s">
        <v>1747</v>
      </c>
      <c r="B24" s="2724" t="s">
        <v>1742</v>
      </c>
      <c r="C24" s="2727">
        <f>D30</f>
        <v>0</v>
      </c>
      <c r="D24" s="2679"/>
      <c r="E24" s="947"/>
      <c r="F24" s="947"/>
      <c r="G24" s="947"/>
      <c r="H24" s="947"/>
      <c r="I24" s="947"/>
      <c r="J24" s="2850"/>
    </row>
    <row r="25" spans="1:36" ht="21.75" customHeight="1">
      <c r="A25" s="3308"/>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2831</v>
      </c>
      <c r="F30" s="2566"/>
      <c r="G30" s="2566"/>
      <c r="H30" s="2566"/>
      <c r="I30" s="2566"/>
      <c r="J30" s="2850"/>
    </row>
    <row r="31" spans="1:36" s="2843" customFormat="1" ht="26.45"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29577</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29577</v>
      </c>
      <c r="D34" s="2753">
        <f ca="1">IF(D33="自定义",ROUND(C34/C32,3),1-D35)</f>
        <v>1</v>
      </c>
      <c r="E34" s="1435" t="s">
        <v>1757</v>
      </c>
      <c r="F34" s="2754">
        <v>2000</v>
      </c>
      <c r="G34" s="947"/>
      <c r="H34" s="947"/>
      <c r="I34" s="947"/>
      <c r="J34" s="2850"/>
    </row>
    <row r="35" spans="1:17" ht="15.75" thickBot="1">
      <c r="A35" s="1467"/>
      <c r="B35" s="2755" t="s">
        <v>1758</v>
      </c>
      <c r="C35" s="2756">
        <f ca="1">IF(D33="自定义",F35,ROUND(C32*D35,0))</f>
        <v>0</v>
      </c>
      <c r="D35" s="2757">
        <f ca="1">IF(D33="自定义",ROUND(C35/C32,3),IF(D33="成本法成本比率",成本法!C56,IF(D33="收益法收益比率",收益法!J38,收益法!J41)))</f>
        <v>0</v>
      </c>
      <c r="E35" s="2758" t="s">
        <v>1759</v>
      </c>
      <c r="F35" s="2759">
        <v>4460</v>
      </c>
      <c r="G35" s="947"/>
      <c r="H35" s="947"/>
      <c r="I35" s="947"/>
      <c r="J35" s="2850"/>
    </row>
    <row r="36" spans="1:17" ht="15.75" thickBot="1">
      <c r="A36" s="3291" t="s">
        <v>1760</v>
      </c>
      <c r="B36" s="1468" t="s">
        <v>1761</v>
      </c>
      <c r="C36" s="2760">
        <v>0</v>
      </c>
      <c r="D36" s="2761"/>
      <c r="E36" s="1680"/>
      <c r="F36" s="1680"/>
      <c r="G36" s="947"/>
      <c r="H36" s="947"/>
      <c r="I36" s="947"/>
      <c r="J36" s="2850"/>
    </row>
    <row r="37" spans="1:17" ht="15.75" thickBot="1">
      <c r="A37" s="3292"/>
      <c r="B37" s="2094" t="s">
        <v>1762</v>
      </c>
      <c r="C37" s="2762">
        <v>0</v>
      </c>
      <c r="D37" s="1311"/>
      <c r="E37" s="1311"/>
      <c r="F37" s="1680"/>
      <c r="G37" s="1311"/>
      <c r="H37" s="1311"/>
      <c r="I37" s="1311"/>
      <c r="J37" s="2854"/>
    </row>
    <row r="38" spans="1:17" ht="15.75" thickBot="1">
      <c r="A38" s="3293"/>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2826</v>
      </c>
      <c r="J44" s="2856"/>
      <c r="K44" s="1475" t="s">
        <v>1770</v>
      </c>
      <c r="L44" s="1476"/>
      <c r="M44" s="1476"/>
      <c r="N44" s="1476"/>
      <c r="O44" s="1476"/>
      <c r="P44" s="1476"/>
      <c r="Q44" s="1308"/>
    </row>
    <row r="45" spans="1:17" ht="14.25" customHeight="1" thickBot="1">
      <c r="A45" s="3295" t="s">
        <v>1771</v>
      </c>
      <c r="B45" s="3296"/>
      <c r="C45" s="3255"/>
      <c r="D45" s="246">
        <f ca="1">ROUND(I102*F45,0)</f>
        <v>4024247</v>
      </c>
      <c r="E45" s="1542" t="s">
        <v>1772</v>
      </c>
      <c r="F45" s="2564">
        <v>1</v>
      </c>
      <c r="G45" s="2565" t="s">
        <v>1773</v>
      </c>
      <c r="H45" s="947"/>
      <c r="I45" s="947"/>
      <c r="J45" s="2850"/>
      <c r="K45" s="3349" t="s">
        <v>2756</v>
      </c>
      <c r="L45" s="3349"/>
      <c r="M45" s="3349"/>
      <c r="N45" s="3349"/>
      <c r="O45" s="3349"/>
      <c r="P45" s="3349"/>
      <c r="Q45" s="1308"/>
    </row>
    <row r="46" spans="1:17" ht="14.25" customHeight="1">
      <c r="A46" s="3284" t="s">
        <v>1775</v>
      </c>
      <c r="B46" s="3285"/>
      <c r="C46" s="3285"/>
      <c r="D46" s="3285"/>
      <c r="E46" s="3285"/>
      <c r="F46" s="3285"/>
      <c r="G46" s="3286"/>
      <c r="H46" s="2982"/>
      <c r="I46" s="947"/>
      <c r="J46" s="2850"/>
      <c r="K46" s="2539">
        <v>1</v>
      </c>
      <c r="L46" s="3350" t="s">
        <v>2757</v>
      </c>
      <c r="M46" s="3350"/>
      <c r="N46" s="3351" t="str">
        <f>项目基本情况!B1</f>
        <v>北京市房地产市场价值预评估</v>
      </c>
      <c r="O46" s="3351"/>
      <c r="P46" s="3351"/>
      <c r="Q46" s="1308"/>
    </row>
    <row r="47" spans="1:17" ht="12" customHeight="1">
      <c r="A47" s="38" t="s">
        <v>1777</v>
      </c>
      <c r="B47" s="39"/>
      <c r="C47" s="40"/>
      <c r="D47" s="1099" t="s">
        <v>1778</v>
      </c>
      <c r="E47" s="235" t="s">
        <v>1779</v>
      </c>
      <c r="F47" s="41" t="s">
        <v>1780</v>
      </c>
      <c r="G47" s="2567" t="s">
        <v>1781</v>
      </c>
      <c r="H47" s="2982"/>
      <c r="I47" s="947"/>
      <c r="J47" s="2850"/>
      <c r="K47" s="2539">
        <v>2</v>
      </c>
      <c r="L47" s="3350" t="s">
        <v>2758</v>
      </c>
      <c r="M47" s="3350"/>
      <c r="N47" s="3352">
        <f>'数据-取费表'!B2</f>
        <v>43964</v>
      </c>
      <c r="O47" s="3352"/>
      <c r="P47" s="3352"/>
      <c r="Q47" s="1308"/>
    </row>
    <row r="48" spans="1:17" ht="25.5">
      <c r="A48" s="3294" t="s">
        <v>1783</v>
      </c>
      <c r="B48" s="3248"/>
      <c r="C48" s="3248"/>
      <c r="D48" s="12">
        <f ca="1">IF(H48="情况1",0,IF(H48="情况2",D52,IF(H48="情况3",D53,IF(H48="情况4",D54))))</f>
        <v>214627</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50" t="s">
        <v>2759</v>
      </c>
      <c r="M48" s="3350"/>
      <c r="N48" s="3351">
        <f ca="1">I102</f>
        <v>4024247</v>
      </c>
      <c r="O48" s="3351"/>
      <c r="P48" s="3351"/>
      <c r="Q48" s="1308"/>
    </row>
    <row r="49" spans="1:17" ht="25.5" customHeight="1">
      <c r="A49" s="2091" t="s">
        <v>1787</v>
      </c>
      <c r="B49" s="3287" t="s">
        <v>1788</v>
      </c>
      <c r="C49" s="3287"/>
      <c r="D49" s="2571">
        <v>0</v>
      </c>
      <c r="E49" s="261" t="s">
        <v>1789</v>
      </c>
      <c r="F49" s="2572" t="s">
        <v>48</v>
      </c>
      <c r="G49" s="3344"/>
      <c r="H49" s="2573" t="s">
        <v>2833</v>
      </c>
      <c r="I49" s="2574"/>
      <c r="J49" s="2858"/>
      <c r="K49" s="2539">
        <v>4</v>
      </c>
      <c r="L49" s="3350" t="str">
        <f>IF(项目基本情况!F5="房地产抵押价值","房地产抵押价值","抵押担保权已注销时的房地产抵押价值")</f>
        <v>抵押担保权已注销时的房地产抵押价值</v>
      </c>
      <c r="M49" s="3350"/>
      <c r="N49" s="3351" t="str">
        <f>IF(项目基本情况!F5="房地产抵押价值",I110,I112)</f>
        <v>——</v>
      </c>
      <c r="O49" s="3351"/>
      <c r="P49" s="3351"/>
      <c r="Q49" s="1308"/>
    </row>
    <row r="50" spans="1:17" ht="25.5" customHeight="1">
      <c r="A50" s="2081"/>
      <c r="B50" s="3287" t="s">
        <v>1790</v>
      </c>
      <c r="C50" s="3287"/>
      <c r="D50" s="2575"/>
      <c r="E50" s="269"/>
      <c r="F50" s="2572"/>
      <c r="G50" s="3345"/>
      <c r="H50" s="2576" t="s">
        <v>2752</v>
      </c>
      <c r="I50" s="2574"/>
      <c r="J50" s="2858"/>
      <c r="K50" s="3350" t="s">
        <v>2760</v>
      </c>
      <c r="L50" s="3350"/>
      <c r="M50" s="3350"/>
      <c r="N50" s="3350"/>
      <c r="O50" s="3350"/>
      <c r="P50" s="3350"/>
      <c r="Q50" s="1308"/>
    </row>
    <row r="51" spans="1:17" ht="20.45" customHeight="1">
      <c r="A51" s="2577"/>
      <c r="B51" s="3287" t="s">
        <v>1792</v>
      </c>
      <c r="C51" s="3287"/>
      <c r="D51" s="1099"/>
      <c r="E51" s="264"/>
      <c r="F51" s="2572"/>
      <c r="G51" s="3346"/>
      <c r="H51" s="2576" t="s">
        <v>2753</v>
      </c>
      <c r="I51" s="2574"/>
      <c r="J51" s="2858"/>
      <c r="K51" s="2540" t="s">
        <v>2761</v>
      </c>
      <c r="L51" s="3350" t="s">
        <v>2762</v>
      </c>
      <c r="M51" s="3350"/>
      <c r="N51" s="2540" t="s">
        <v>2763</v>
      </c>
      <c r="O51" s="2540" t="s">
        <v>2764</v>
      </c>
      <c r="P51" s="2540" t="s">
        <v>2765</v>
      </c>
      <c r="Q51" s="1308"/>
    </row>
    <row r="52" spans="1:17" ht="24" customHeight="1">
      <c r="A52" s="2082" t="s">
        <v>1798</v>
      </c>
      <c r="B52" s="3287" t="s">
        <v>1799</v>
      </c>
      <c r="C52" s="3287"/>
      <c r="D52" s="1099">
        <f ca="1">ROUND(D45*'数据-取费表'!E29/(1+'数据-取费表'!F30),0)</f>
        <v>214627</v>
      </c>
      <c r="E52" s="2092" t="s">
        <v>1800</v>
      </c>
      <c r="F52" s="2578">
        <f>'数据-取费表'!E29</f>
        <v>5.6000000000000001E-2</v>
      </c>
      <c r="G52" s="2579"/>
      <c r="H52" s="947"/>
      <c r="I52" s="2983"/>
      <c r="J52" s="2858"/>
      <c r="K52" s="2539">
        <v>1</v>
      </c>
      <c r="L52" s="3317" t="s">
        <v>2766</v>
      </c>
      <c r="M52" s="3317"/>
      <c r="N52" s="2541">
        <f ca="1">D48</f>
        <v>214627</v>
      </c>
      <c r="O52" s="2539" t="str">
        <f>E48</f>
        <v>销售额×税（费）率</v>
      </c>
      <c r="P52" s="2542">
        <f>F48</f>
        <v>5.6000000000000001E-2</v>
      </c>
      <c r="Q52" s="1308"/>
    </row>
    <row r="53" spans="1:17" ht="12" customHeight="1">
      <c r="A53" s="2082" t="s">
        <v>1802</v>
      </c>
      <c r="B53" s="3249" t="s">
        <v>2845</v>
      </c>
      <c r="C53" s="3288"/>
      <c r="D53" s="1099">
        <f ca="1">ROUND(D45*'数据-取费表'!E29/(1+'数据-取费表'!F30),0)</f>
        <v>214627</v>
      </c>
      <c r="E53" s="2092" t="s">
        <v>1800</v>
      </c>
      <c r="F53" s="2578">
        <f>'数据-取费表'!E29</f>
        <v>5.6000000000000001E-2</v>
      </c>
      <c r="G53" s="2579"/>
      <c r="H53" s="947"/>
      <c r="I53" s="2983"/>
      <c r="J53" s="2858"/>
      <c r="K53" s="2539">
        <v>2</v>
      </c>
      <c r="L53" s="3317" t="s">
        <v>2767</v>
      </c>
      <c r="M53" s="3317"/>
      <c r="N53" s="2541">
        <f t="shared" ref="N53:P54" si="1">D55</f>
        <v>0</v>
      </c>
      <c r="O53" s="2539" t="str">
        <f t="shared" si="1"/>
        <v>销售额×税（费）率</v>
      </c>
      <c r="P53" s="2542" t="str">
        <f t="shared" si="1"/>
        <v>免征</v>
      </c>
      <c r="Q53" s="1308"/>
    </row>
    <row r="54" spans="1:17" ht="12" customHeight="1">
      <c r="A54" s="2082" t="s">
        <v>1804</v>
      </c>
      <c r="B54" s="3249" t="s">
        <v>2846</v>
      </c>
      <c r="C54" s="3288"/>
      <c r="D54" s="1099">
        <f ca="1">C68</f>
        <v>214626</v>
      </c>
      <c r="E54" s="264" t="s">
        <v>1805</v>
      </c>
      <c r="F54" s="2578">
        <f>'数据-取费表'!E29</f>
        <v>5.6000000000000001E-2</v>
      </c>
      <c r="G54" s="2579"/>
      <c r="H54" s="2984"/>
      <c r="I54" s="2983"/>
      <c r="J54" s="2858"/>
      <c r="K54" s="2539">
        <v>3</v>
      </c>
      <c r="L54" s="3317" t="s">
        <v>2768</v>
      </c>
      <c r="M54" s="3317"/>
      <c r="N54" s="2541">
        <f t="shared" si="1"/>
        <v>0</v>
      </c>
      <c r="O54" s="2539" t="str">
        <f t="shared" si="1"/>
        <v>增值额×税（费）率</v>
      </c>
      <c r="P54" s="2543" t="str">
        <f t="shared" si="1"/>
        <v>免征</v>
      </c>
      <c r="Q54" s="1308"/>
    </row>
    <row r="55" spans="1:17" ht="24" customHeight="1">
      <c r="A55" s="3247" t="s">
        <v>1807</v>
      </c>
      <c r="B55" s="3248"/>
      <c r="C55" s="3248"/>
      <c r="D55" s="12">
        <f>IF(H55="个人住宅",0,ROUND(D45*I55,0))</f>
        <v>0</v>
      </c>
      <c r="E55" s="2092" t="s">
        <v>1808</v>
      </c>
      <c r="F55" s="2578" t="str">
        <f>IF(H55="正常",I55,"免征")</f>
        <v>免征</v>
      </c>
      <c r="G55" s="2579"/>
      <c r="H55" s="2570" t="s">
        <v>2749</v>
      </c>
      <c r="I55" s="74">
        <f>'数据-取费表'!E37</f>
        <v>5.0000000000000001E-4</v>
      </c>
      <c r="J55" s="2858"/>
      <c r="K55" s="2539" t="str">
        <f>IF(H59="非个人房产","",4)</f>
        <v/>
      </c>
      <c r="L55" s="3317" t="str">
        <f>IF(H59="非个人房产","——","个人所得税")</f>
        <v>——</v>
      </c>
      <c r="M55" s="3317"/>
      <c r="N55" s="2544" t="str">
        <f>D59</f>
        <v>——</v>
      </c>
      <c r="O55" s="2545" t="str">
        <f>E59</f>
        <v>——</v>
      </c>
      <c r="P55" s="2546" t="str">
        <f>F59</f>
        <v>——</v>
      </c>
      <c r="Q55" s="1308"/>
    </row>
    <row r="56" spans="1:17" ht="24.75">
      <c r="A56" s="3247" t="s">
        <v>1810</v>
      </c>
      <c r="B56" s="3248"/>
      <c r="C56" s="3248"/>
      <c r="D56" s="12">
        <f>IF(H56="个人住宅",D57,D58)</f>
        <v>0</v>
      </c>
      <c r="E56" s="2092" t="s">
        <v>1811</v>
      </c>
      <c r="F56" s="2578" t="str">
        <f>IF(H56="正常",F58,"免征")</f>
        <v>免征</v>
      </c>
      <c r="G56" s="2580" t="s">
        <v>1812</v>
      </c>
      <c r="H56" s="2581" t="s">
        <v>2749</v>
      </c>
      <c r="I56" s="2985"/>
      <c r="J56" s="2858"/>
      <c r="K56" s="2539" t="str">
        <f>IF(项目基本情况!I6="上海银行",IF(K55="",4,K55+1),"")</f>
        <v/>
      </c>
      <c r="L56" s="3331" t="str">
        <f>IF(项目基本情况!I6="上海银行","其他处置费用","")</f>
        <v/>
      </c>
      <c r="M56" s="3332"/>
      <c r="N56" s="2541" t="str">
        <f>IF(项目基本情况!I6="上海银行",N69,"")</f>
        <v/>
      </c>
      <c r="O56" s="3331" t="str">
        <f>IF(项目基本情况!I6="上海银行","包含处置中涉及的律师、诉讼、拍卖、评估等费用","")</f>
        <v/>
      </c>
      <c r="P56" s="3343"/>
      <c r="Q56" s="1308"/>
    </row>
    <row r="57" spans="1:17" ht="12.75">
      <c r="A57" s="2082" t="s">
        <v>1787</v>
      </c>
      <c r="B57" s="3249" t="s">
        <v>1813</v>
      </c>
      <c r="C57" s="3288"/>
      <c r="D57" s="2571">
        <v>0</v>
      </c>
      <c r="E57" s="261" t="s">
        <v>1789</v>
      </c>
      <c r="F57" s="235"/>
      <c r="G57" s="2579"/>
      <c r="H57" s="2985"/>
      <c r="I57" s="2985"/>
      <c r="J57" s="2858"/>
      <c r="K57" s="3317">
        <f>IF(AND(K55="",K56=""),4,IF(项目基本情况!I6="上海银行",K56+1,K55+1))</f>
        <v>4</v>
      </c>
      <c r="L57" s="3317" t="s">
        <v>2769</v>
      </c>
      <c r="M57" s="2547" t="s">
        <v>2770</v>
      </c>
      <c r="N57" s="2548"/>
      <c r="O57" s="2549">
        <f ca="1">SUMIF(N52:N56,"&lt;9e307")</f>
        <v>214627</v>
      </c>
      <c r="P57" s="2550"/>
      <c r="Q57" s="1306" t="e">
        <f ca="1">O57/N49</f>
        <v>#VALUE!</v>
      </c>
    </row>
    <row r="58" spans="1:17" ht="24.75">
      <c r="A58" s="2082" t="s">
        <v>1798</v>
      </c>
      <c r="B58" s="3249" t="s">
        <v>1816</v>
      </c>
      <c r="C58" s="3287"/>
      <c r="D58" s="12">
        <f ca="1">IF(H58="转让取得",C81,C97)</f>
        <v>2277723</v>
      </c>
      <c r="E58" s="2092" t="s">
        <v>1811</v>
      </c>
      <c r="F58" s="235" t="s">
        <v>48</v>
      </c>
      <c r="G58" s="2579"/>
      <c r="H58" s="2581" t="s">
        <v>1817</v>
      </c>
      <c r="I58" s="2985"/>
      <c r="J58" s="2858"/>
      <c r="K58" s="3317"/>
      <c r="L58" s="3317"/>
      <c r="M58" s="2547" t="s">
        <v>2771</v>
      </c>
      <c r="N58" s="2551"/>
      <c r="O58" s="2552" t="str">
        <f ca="1">IF(H19="元",NUMBERSTRING(INT(O57),2)&amp;"元整",NUMBERSTRING(INT(O57*10000),2)&amp;"元整")</f>
        <v>贰拾壹万肆仟陆佰贰拾柒元整</v>
      </c>
      <c r="P58" s="2553"/>
      <c r="Q58" s="1308"/>
    </row>
    <row r="59" spans="1:17" ht="24.75" thickBot="1">
      <c r="A59" s="3271" t="s">
        <v>1819</v>
      </c>
      <c r="B59" s="3272"/>
      <c r="C59" s="327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2824</v>
      </c>
      <c r="H59" s="2096" t="s">
        <v>2834</v>
      </c>
      <c r="I59" s="2887" t="s">
        <v>2835</v>
      </c>
      <c r="J59" s="2858"/>
      <c r="K59" s="3315">
        <f>K57+1</f>
        <v>5</v>
      </c>
      <c r="L59" s="3317" t="s">
        <v>2772</v>
      </c>
      <c r="M59" s="2539" t="s">
        <v>2770</v>
      </c>
      <c r="N59" s="2554"/>
      <c r="O59" s="2555" t="e">
        <f ca="1">N49-O57</f>
        <v>#VALUE!</v>
      </c>
      <c r="P59" s="2556"/>
      <c r="Q59" s="1308"/>
    </row>
    <row r="60" spans="1:17" ht="12" customHeight="1">
      <c r="A60" s="1457"/>
      <c r="B60" s="1461"/>
      <c r="C60" s="1461"/>
      <c r="D60" s="1461"/>
      <c r="E60" s="812"/>
      <c r="F60" s="2986"/>
      <c r="G60" s="2986"/>
      <c r="H60" s="2987"/>
      <c r="I60" s="31"/>
      <c r="K60" s="3316"/>
      <c r="L60" s="3317"/>
      <c r="M60" s="2547" t="s">
        <v>2771</v>
      </c>
      <c r="N60" s="2551"/>
      <c r="O60" s="2552" t="e">
        <f ca="1">IF(H19="元",NUMBERSTRING(INT(O59),2)&amp;"元整",NUMBERSTRING(INT(O59*10000),2)&amp;"元整")</f>
        <v>#VALUE!</v>
      </c>
      <c r="P60" s="2553"/>
      <c r="Q60" s="1308"/>
    </row>
    <row r="61" spans="1:17" ht="13.5" thickBot="1">
      <c r="A61" s="3297" t="s">
        <v>1821</v>
      </c>
      <c r="B61" s="3297"/>
      <c r="C61" s="3297"/>
      <c r="D61" s="3297"/>
      <c r="E61" s="3297"/>
      <c r="F61" s="2986"/>
      <c r="G61" s="2986"/>
      <c r="H61" s="2988"/>
      <c r="I61" s="31"/>
      <c r="K61" s="2539">
        <f>K59+1</f>
        <v>6</v>
      </c>
      <c r="L61" s="3317" t="s">
        <v>2773</v>
      </c>
      <c r="M61" s="3317"/>
      <c r="N61" s="2557"/>
      <c r="O61" s="2558" t="e">
        <f ca="1">IF(H19="元",ROUND(O59/项目基本情况!C12,0),ROUND(O59*10000/项目基本情况!C12,0))</f>
        <v>#VALUE!</v>
      </c>
      <c r="P61" s="2559"/>
      <c r="Q61" s="1308"/>
    </row>
    <row r="62" spans="1:17" ht="12.75">
      <c r="A62" s="3306" t="s">
        <v>1823</v>
      </c>
      <c r="B62" s="3307"/>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3832616</v>
      </c>
      <c r="D63" s="47"/>
      <c r="E63" s="48"/>
      <c r="F63" s="2986"/>
      <c r="G63" s="2986"/>
      <c r="H63" s="2988"/>
      <c r="I63" s="31"/>
      <c r="K63" s="3333" t="s">
        <v>2774</v>
      </c>
      <c r="L63" s="2561" t="s">
        <v>2775</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4024247</v>
      </c>
      <c r="D64" s="50" t="s">
        <v>41</v>
      </c>
      <c r="E64" s="52"/>
      <c r="F64" s="2986"/>
      <c r="G64" s="2986"/>
      <c r="H64" s="2988"/>
      <c r="I64" s="31"/>
      <c r="K64" s="3333"/>
      <c r="L64" s="2561" t="s">
        <v>2776</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2777</v>
      </c>
      <c r="P64" s="2560"/>
      <c r="Q64" s="1308"/>
    </row>
    <row r="65" spans="1:36" ht="12.75">
      <c r="A65" s="49" t="s">
        <v>72</v>
      </c>
      <c r="B65" s="50" t="s">
        <v>1832</v>
      </c>
      <c r="C65" s="2791"/>
      <c r="D65" s="50"/>
      <c r="E65" s="52"/>
      <c r="F65" s="2986"/>
      <c r="G65" s="2986"/>
      <c r="H65" s="2988"/>
      <c r="I65" s="31"/>
      <c r="K65" s="3333"/>
      <c r="L65" s="2561" t="s">
        <v>2778</v>
      </c>
      <c r="M65" s="2561" t="e">
        <f>IF(N49&gt;1000,N49*0.1%,IF(AND(N49&gt;500,N49&lt;=1000),N49*0.5%,IF(AND(N49&gt;50,N49&lt;=500),N49*1%,IF(AND(N49&gt;1,N49&lt;=50),N49*1.5%))))</f>
        <v>#VALUE!</v>
      </c>
      <c r="N65" s="2562" t="e">
        <f t="shared" si="2"/>
        <v>#VALUE!</v>
      </c>
      <c r="O65" s="2560" t="s">
        <v>2777</v>
      </c>
      <c r="P65" s="2560"/>
      <c r="Q65" s="1308"/>
    </row>
    <row r="66" spans="1:36" ht="12.75">
      <c r="A66" s="53" t="s">
        <v>47</v>
      </c>
      <c r="B66" s="54" t="s">
        <v>1834</v>
      </c>
      <c r="C66" s="2792"/>
      <c r="D66" s="54" t="s">
        <v>41</v>
      </c>
      <c r="E66" s="1316" t="s">
        <v>1835</v>
      </c>
      <c r="F66" s="2986"/>
      <c r="G66" s="2986"/>
      <c r="H66" s="2988"/>
      <c r="I66" s="31"/>
      <c r="K66" s="3333"/>
      <c r="L66" s="2561" t="s">
        <v>2779</v>
      </c>
      <c r="M66" s="2561" t="e">
        <f>N49*0.5%</f>
        <v>#VALUE!</v>
      </c>
      <c r="N66" s="2562" t="e">
        <f>IF(M66&gt;0.5,0.5,ROUND(M66,0))</f>
        <v>#VALUE!</v>
      </c>
      <c r="O66" s="2560" t="s">
        <v>2780</v>
      </c>
      <c r="P66" s="2560"/>
      <c r="Q66" s="1308"/>
    </row>
    <row r="67" spans="1:36" ht="12.75">
      <c r="A67" s="53" t="s">
        <v>42</v>
      </c>
      <c r="B67" s="54" t="s">
        <v>1838</v>
      </c>
      <c r="C67" s="2793">
        <f ca="1">C63-C66</f>
        <v>3832616</v>
      </c>
      <c r="D67" s="50" t="s">
        <v>41</v>
      </c>
      <c r="E67" s="52"/>
      <c r="F67" s="2986"/>
      <c r="G67" s="2986"/>
      <c r="H67" s="2988"/>
      <c r="I67" s="31"/>
      <c r="K67" s="3333"/>
      <c r="L67" s="2561" t="s">
        <v>2781</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214626</v>
      </c>
      <c r="D68" s="2244">
        <f>'数据-取费表'!E29</f>
        <v>5.6000000000000001E-2</v>
      </c>
      <c r="E68" s="57"/>
      <c r="F68" s="2986"/>
      <c r="G68" s="2986"/>
      <c r="H68" s="2988"/>
      <c r="I68" s="31"/>
      <c r="K68" s="3333"/>
      <c r="L68" s="2561" t="s">
        <v>2782</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3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9" t="s">
        <v>1843</v>
      </c>
      <c r="B70" s="3310"/>
      <c r="C70" s="3310"/>
      <c r="D70" s="3310"/>
      <c r="E70" s="3310"/>
      <c r="F70" s="3310"/>
      <c r="G70" s="3310"/>
      <c r="H70" s="3310"/>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6" t="s">
        <v>1823</v>
      </c>
      <c r="B71" s="3307"/>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3832616</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22996</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49" t="s">
        <v>1853</v>
      </c>
      <c r="F76" s="3287"/>
      <c r="G76" s="3287"/>
      <c r="H76" s="3301"/>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22996</v>
      </c>
      <c r="D78" s="2802">
        <f>'数据-取费表'!E31</f>
        <v>6.000000000000001E-3</v>
      </c>
      <c r="E78" s="3281" t="s">
        <v>1858</v>
      </c>
      <c r="F78" s="3282"/>
      <c r="G78" s="3282"/>
      <c r="H78" s="3283"/>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3809620</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165.66446338493651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2277723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9" t="s">
        <v>1862</v>
      </c>
      <c r="B83" s="3310"/>
      <c r="C83" s="3310"/>
      <c r="D83" s="3310"/>
      <c r="E83" s="3310"/>
      <c r="F83" s="3310"/>
      <c r="G83" s="3310"/>
      <c r="H83" s="3310"/>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6" t="s">
        <v>1823</v>
      </c>
      <c r="B84" s="3307"/>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3832616</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22996</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42" t="s">
        <v>2744</v>
      </c>
      <c r="H90" s="3342"/>
      <c r="I90" s="9"/>
      <c r="J90" s="2861"/>
      <c r="K90" s="2977"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81" t="s">
        <v>1870</v>
      </c>
      <c r="F91" s="3282"/>
      <c r="G91" s="328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81" t="s">
        <v>1873</v>
      </c>
      <c r="F92" s="3282"/>
      <c r="G92" s="3282"/>
      <c r="H92" s="3283"/>
      <c r="I92" s="9"/>
      <c r="J92" s="2861"/>
      <c r="K92" s="2978"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22996</v>
      </c>
      <c r="D93" s="2802">
        <f>'数据-取费表'!E31</f>
        <v>6.000000000000001E-3</v>
      </c>
      <c r="E93" s="3281" t="s">
        <v>1858</v>
      </c>
      <c r="F93" s="3282"/>
      <c r="G93" s="3282"/>
      <c r="H93" s="3283"/>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81" t="s">
        <v>1875</v>
      </c>
      <c r="F94" s="3282"/>
      <c r="G94" s="3282"/>
      <c r="H94" s="3283"/>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3809620</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165.66446338493651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2277723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28" t="s">
        <v>1877</v>
      </c>
      <c r="B99" s="3329"/>
      <c r="C99" s="3329"/>
      <c r="D99" s="3330"/>
      <c r="E99" s="1461"/>
      <c r="F99" s="3337" t="s">
        <v>1878</v>
      </c>
      <c r="G99" s="3338"/>
      <c r="H99" s="3338"/>
      <c r="I99" s="3339"/>
      <c r="J99" s="2864"/>
    </row>
    <row r="100" spans="1:36" ht="15">
      <c r="A100" s="3340" t="s">
        <v>1879</v>
      </c>
      <c r="B100" s="3341"/>
      <c r="C100" s="1307" t="str">
        <f>C4</f>
        <v>比较法-住宅</v>
      </c>
      <c r="D100" s="2812" t="str">
        <f>D4</f>
        <v>收益法</v>
      </c>
      <c r="E100" s="1461"/>
      <c r="F100" s="3252" t="s">
        <v>2788</v>
      </c>
      <c r="G100" s="3253"/>
      <c r="H100" s="3252" t="s">
        <v>2789</v>
      </c>
      <c r="I100" s="3251"/>
      <c r="J100" s="2865"/>
    </row>
    <row r="101" spans="1:36" ht="12.75">
      <c r="A101" s="3320" t="s">
        <v>2821</v>
      </c>
      <c r="B101" s="2309" t="str">
        <f>IF(H19="元","总价（元）","总价（万元）")</f>
        <v>总价（元）</v>
      </c>
      <c r="C101" s="1307">
        <f ca="1">C19</f>
        <v>4761148</v>
      </c>
      <c r="D101" s="2812">
        <f ca="1">D19</f>
        <v>2304554</v>
      </c>
      <c r="E101" s="1461"/>
      <c r="F101" s="3252" t="str">
        <f>项目基本情况!I1</f>
        <v>北京市房地产</v>
      </c>
      <c r="G101" s="3253"/>
      <c r="H101" s="3250">
        <f>项目基本情况!C12</f>
        <v>136.06</v>
      </c>
      <c r="I101" s="3251"/>
      <c r="J101" s="2865"/>
    </row>
    <row r="102" spans="1:36" ht="12.75">
      <c r="A102" s="3320"/>
      <c r="B102" s="2309" t="s">
        <v>2822</v>
      </c>
      <c r="C102" s="2813">
        <f ca="1">C20</f>
        <v>34993</v>
      </c>
      <c r="D102" s="2814">
        <f ca="1">D20</f>
        <v>16938</v>
      </c>
      <c r="E102" s="1461"/>
      <c r="F102" s="3262" t="s">
        <v>2818</v>
      </c>
      <c r="G102" s="3263"/>
      <c r="H102" s="2822" t="str">
        <f>C106</f>
        <v>总价（元）</v>
      </c>
      <c r="I102" s="2823">
        <f ca="1">H121</f>
        <v>4024247</v>
      </c>
      <c r="J102" s="2865"/>
    </row>
    <row r="103" spans="1:36" ht="12.75">
      <c r="A103" s="3320" t="s">
        <v>2823</v>
      </c>
      <c r="B103" s="2247" t="str">
        <f>B101</f>
        <v>总价（元）</v>
      </c>
      <c r="C103" s="2817">
        <f ca="1">H121</f>
        <v>4024247</v>
      </c>
      <c r="D103" s="2815"/>
      <c r="E103" s="1461"/>
      <c r="F103" s="3262"/>
      <c r="G103" s="3263"/>
      <c r="H103" s="2822" t="s">
        <v>2791</v>
      </c>
      <c r="I103" s="52">
        <f ca="1">I121</f>
        <v>29577</v>
      </c>
      <c r="J103" s="2849"/>
    </row>
    <row r="104" spans="1:36" ht="13.5" thickBot="1">
      <c r="A104" s="3321"/>
      <c r="B104" s="2819" t="s">
        <v>2822</v>
      </c>
      <c r="C104" s="2820">
        <f ca="1">I121</f>
        <v>29577</v>
      </c>
      <c r="D104" s="2821"/>
      <c r="E104" s="1461"/>
      <c r="F104" s="3262"/>
      <c r="G104" s="3263"/>
      <c r="H104" s="3322"/>
      <c r="I104" s="3323"/>
      <c r="J104" s="2866"/>
    </row>
    <row r="105" spans="1:36" ht="15">
      <c r="A105" s="3328" t="s">
        <v>1880</v>
      </c>
      <c r="B105" s="3329"/>
      <c r="C105" s="3329"/>
      <c r="D105" s="3330"/>
      <c r="E105" s="1461"/>
      <c r="F105" s="3326" t="s">
        <v>2792</v>
      </c>
      <c r="G105" s="3327"/>
      <c r="H105" s="2824" t="str">
        <f>C108</f>
        <v>总额（元）</v>
      </c>
      <c r="I105" s="2823">
        <f>SUMIF(I106:I108,"&lt;9E307")</f>
        <v>0</v>
      </c>
      <c r="J105" s="2865"/>
    </row>
    <row r="106" spans="1:36" ht="14.25">
      <c r="A106" s="3262" t="s">
        <v>2815</v>
      </c>
      <c r="B106" s="3263"/>
      <c r="C106" s="2822" t="str">
        <f>B101</f>
        <v>总价（元）</v>
      </c>
      <c r="D106" s="2823">
        <f ca="1">H121</f>
        <v>4024247</v>
      </c>
      <c r="E106" s="1461"/>
      <c r="F106" s="3264" t="s">
        <v>2793</v>
      </c>
      <c r="G106" s="3265"/>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62"/>
      <c r="B107" s="3263"/>
      <c r="C107" s="2822" t="s">
        <v>2816</v>
      </c>
      <c r="D107" s="52">
        <f ca="1">I121</f>
        <v>29577</v>
      </c>
      <c r="E107" s="1461"/>
      <c r="F107" s="3264" t="s">
        <v>2794</v>
      </c>
      <c r="G107" s="3265"/>
      <c r="H107" s="2824" t="str">
        <f>C110</f>
        <v>总额（元）</v>
      </c>
      <c r="I107" s="52">
        <f>C37</f>
        <v>0</v>
      </c>
      <c r="J107" s="2849"/>
    </row>
    <row r="108" spans="1:36" ht="12.75">
      <c r="A108" s="3269" t="s">
        <v>2792</v>
      </c>
      <c r="B108" s="3270"/>
      <c r="C108" s="2824" t="str">
        <f>IF(H19="元","总额（元）","总额（万元）")</f>
        <v>总额（元）</v>
      </c>
      <c r="D108" s="2823">
        <f>IF(D36="正常操作",I106+I107+I108,I107+I108)</f>
        <v>0</v>
      </c>
      <c r="E108" s="1461"/>
      <c r="F108" s="3264" t="s">
        <v>2819</v>
      </c>
      <c r="G108" s="3265"/>
      <c r="H108" s="2824" t="str">
        <f>C111</f>
        <v>总额（元）</v>
      </c>
      <c r="I108" s="52">
        <f>C38</f>
        <v>0</v>
      </c>
      <c r="J108" s="2849"/>
    </row>
    <row r="109" spans="1:36" ht="12.75">
      <c r="A109" s="3264" t="s">
        <v>2793</v>
      </c>
      <c r="B109" s="3265"/>
      <c r="C109" s="2824" t="str">
        <f>C108</f>
        <v>总额（元）</v>
      </c>
      <c r="D109" s="52">
        <f>IF(D36="同一抵押权人同一抵押物续贷",C36&amp;"（未扣减，详见特别提示）",C36)</f>
        <v>0</v>
      </c>
      <c r="E109" s="1461"/>
      <c r="F109" s="3262"/>
      <c r="G109" s="3263"/>
      <c r="H109" s="3324"/>
      <c r="I109" s="3325"/>
      <c r="J109" s="2867"/>
    </row>
    <row r="110" spans="1:36" ht="28.5" customHeight="1">
      <c r="A110" s="3264" t="s">
        <v>2817</v>
      </c>
      <c r="B110" s="3265"/>
      <c r="C110" s="2824" t="str">
        <f>C108</f>
        <v>总额（元）</v>
      </c>
      <c r="D110" s="52">
        <f>C37</f>
        <v>0</v>
      </c>
      <c r="E110" s="1461"/>
      <c r="F110" s="3254" t="str">
        <f>IF(项目基本情况!F5="已注销","——","3.房地产抵押价值")</f>
        <v>3.房地产抵押价值</v>
      </c>
      <c r="G110" s="3255"/>
      <c r="H110" s="2810" t="str">
        <f>C112</f>
        <v>总价（元）</v>
      </c>
      <c r="I110" s="2823">
        <f ca="1">IF(F110="——","——",I102-I105)</f>
        <v>4024247</v>
      </c>
      <c r="J110" s="2865"/>
    </row>
    <row r="111" spans="1:36" ht="12.75">
      <c r="A111" s="3264" t="s">
        <v>2796</v>
      </c>
      <c r="B111" s="3265"/>
      <c r="C111" s="2824" t="str">
        <f>C108</f>
        <v>总额（元）</v>
      </c>
      <c r="D111" s="52">
        <f>C38</f>
        <v>0</v>
      </c>
      <c r="E111" s="1461"/>
      <c r="F111" s="3353"/>
      <c r="G111" s="3354"/>
      <c r="H111" s="2822" t="s">
        <v>2791</v>
      </c>
      <c r="I111" s="2826">
        <f ca="1">D113</f>
        <v>29577</v>
      </c>
      <c r="J111" s="2868"/>
    </row>
    <row r="112" spans="1:36" ht="26.25" customHeight="1">
      <c r="A112" s="3262" t="str">
        <f>IF(项目基本情况!F5="已注销","——","3.房地产抵押价值")</f>
        <v>3.房地产抵押价值</v>
      </c>
      <c r="B112" s="3263"/>
      <c r="C112" s="2822" t="str">
        <f>B101</f>
        <v>总价（元）</v>
      </c>
      <c r="D112" s="2823">
        <f ca="1">IF(A112="——","——",D106-D108)</f>
        <v>4024247</v>
      </c>
      <c r="E112" s="1461"/>
      <c r="F112" s="3254" t="str">
        <f>IF(项目基本情况!F5="已注销及未注销","4.抵押担保权已注销时的房地产抵押价值",IF(项目基本情况!F5="已注销","3.抵押担保权已注销时的房地产抵押价值","——"))</f>
        <v>——</v>
      </c>
      <c r="G112" s="3255"/>
      <c r="H112" s="2810" t="str">
        <f>C114</f>
        <v>总价（元）</v>
      </c>
      <c r="I112" s="2823" t="str">
        <f>IF(F112="——","——",I102-I107-I108)</f>
        <v>——</v>
      </c>
      <c r="J112" s="2865"/>
    </row>
    <row r="113" spans="1:16" ht="12.75">
      <c r="A113" s="3262"/>
      <c r="B113" s="3263"/>
      <c r="C113" s="2822" t="s">
        <v>2784</v>
      </c>
      <c r="D113" s="52">
        <f ca="1">ROUND(IF(D112=D106,D107,IF(H19="元",D112/项目基本情况!C12,D112*10000/项目基本情况!C12)),0)</f>
        <v>29577</v>
      </c>
      <c r="E113" s="1461"/>
      <c r="F113" s="3353"/>
      <c r="G113" s="3354"/>
      <c r="H113" s="2822" t="s">
        <v>2820</v>
      </c>
      <c r="I113" s="52" t="str">
        <f>D115</f>
        <v>——</v>
      </c>
      <c r="J113" s="2849"/>
    </row>
    <row r="114" spans="1:16" ht="12.75">
      <c r="A114" s="3262" t="str">
        <f>IF(项目基本情况!F5="已注销及未注销","4.抵押担保权已注销时的房地产抵押价值",IF(项目基本情况!F5="已注销","3.抵押担保权已注销时的房地产抵押价值","——"))</f>
        <v>——</v>
      </c>
      <c r="B114" s="3263"/>
      <c r="C114" s="2822" t="str">
        <f>B101</f>
        <v>总价（元）</v>
      </c>
      <c r="D114" s="2823" t="str">
        <f>IF(A114="——","——",D106-D110-D111)</f>
        <v>——</v>
      </c>
      <c r="E114" s="1461"/>
      <c r="F114" s="3254" t="str">
        <f>IF(项目基本情况!G5="抵押净值",IF(OR(项目基本情况!F5="已注销",项目基本情况!F5="房地产抵押价值"),"4.抵押净值","5.抵押净值"),"——")</f>
        <v>——</v>
      </c>
      <c r="G114" s="3255"/>
      <c r="H114" s="2822" t="str">
        <f>C116</f>
        <v>总价（元）</v>
      </c>
      <c r="I114" s="2823" t="str">
        <f>IF(F114="——","——",O59)</f>
        <v>——</v>
      </c>
      <c r="J114" s="2865"/>
    </row>
    <row r="115" spans="1:16" ht="13.5" thickBot="1">
      <c r="A115" s="3262"/>
      <c r="B115" s="3263"/>
      <c r="C115" s="2822" t="s">
        <v>2784</v>
      </c>
      <c r="D115" s="52" t="str">
        <f>IF(A114="——","——",ROUND(IF(D114=D106,D107,IF(H19="元",D114/项目基本情况!C12,D114*10000/项目基本情况!C12)),0))</f>
        <v>——</v>
      </c>
      <c r="E115" s="1461"/>
      <c r="F115" s="3256"/>
      <c r="G115" s="3257"/>
      <c r="H115" s="2827" t="s">
        <v>2784</v>
      </c>
      <c r="I115" s="2811" t="str">
        <f ca="1">D117</f>
        <v>——</v>
      </c>
      <c r="J115" s="2849"/>
    </row>
    <row r="116" spans="1:16" ht="15.75">
      <c r="A116" s="3262" t="str">
        <f>IF(项目基本情况!G5="抵押净值",IF(OR(项目基本情况!F5="已注销",项目基本情况!F5="房地产抵押价值"),"4.抵押净值","5.抵押净值"),"——")</f>
        <v>——</v>
      </c>
      <c r="B116" s="3263"/>
      <c r="C116" s="2822" t="str">
        <f>B101</f>
        <v>总价（元）</v>
      </c>
      <c r="D116" s="2823" t="str">
        <f>IF(A116="——","——",O59)</f>
        <v>——</v>
      </c>
      <c r="E116" s="1461"/>
      <c r="F116" s="3348"/>
      <c r="G116" s="3348"/>
      <c r="H116" s="3312"/>
      <c r="I116" s="3312"/>
      <c r="J116" s="2869"/>
      <c r="O116" s="32"/>
      <c r="P116" s="32"/>
    </row>
    <row r="117" spans="1:16" ht="13.5" thickBot="1">
      <c r="A117" s="3267"/>
      <c r="B117" s="3268"/>
      <c r="C117" s="2827" t="s">
        <v>2784</v>
      </c>
      <c r="D117" s="2811" t="str">
        <f ca="1">IF(D116=D112,D113,IF(A116="——","——",O61))</f>
        <v>——</v>
      </c>
      <c r="E117" s="1461"/>
      <c r="F117" s="3246" t="str">
        <f>IF(B32="总价","（以上估价结果中单价为总价除以建筑面积得出）","（以上估价结果中总价为楼面单价乘以建筑面积得出）")</f>
        <v>（以上估价结果中总价为楼面单价乘以建筑面积得出）</v>
      </c>
      <c r="G117" s="3246"/>
      <c r="H117" s="3246"/>
      <c r="I117" s="3246"/>
      <c r="J117" s="2870"/>
      <c r="O117" s="32"/>
      <c r="P117" s="32"/>
    </row>
    <row r="118" spans="1:16" ht="15">
      <c r="A118" s="3313" t="s">
        <v>1881</v>
      </c>
      <c r="B118" s="3314"/>
      <c r="C118" s="3314"/>
      <c r="D118" s="3314"/>
      <c r="E118" s="3314"/>
      <c r="F118" s="3314"/>
      <c r="G118" s="3314"/>
      <c r="H118" s="3314"/>
      <c r="I118" s="3314"/>
      <c r="J118" s="2871"/>
    </row>
    <row r="119" spans="1:16" ht="12.75">
      <c r="A119" s="3247" t="s">
        <v>2802</v>
      </c>
      <c r="B119" s="3273" t="s">
        <v>2812</v>
      </c>
      <c r="C119" s="3273" t="s">
        <v>2813</v>
      </c>
      <c r="D119" s="3335" t="s">
        <v>2804</v>
      </c>
      <c r="E119" s="3336"/>
      <c r="F119" s="3248" t="s">
        <v>2814</v>
      </c>
      <c r="G119" s="3248"/>
      <c r="H119" s="3248" t="s">
        <v>2805</v>
      </c>
      <c r="I119" s="3334"/>
      <c r="J119" s="2849"/>
    </row>
    <row r="120" spans="1:16" ht="12.75">
      <c r="A120" s="3247"/>
      <c r="B120" s="3274"/>
      <c r="C120" s="3274"/>
      <c r="D120" s="2092" t="s">
        <v>2806</v>
      </c>
      <c r="E120" s="2092" t="s">
        <v>2811</v>
      </c>
      <c r="F120" s="2092" t="s">
        <v>2806</v>
      </c>
      <c r="G120" s="2092" t="s">
        <v>2807</v>
      </c>
      <c r="H120" s="2092" t="s">
        <v>2806</v>
      </c>
      <c r="I120" s="52" t="s">
        <v>2807</v>
      </c>
      <c r="J120" s="2849"/>
    </row>
    <row r="121" spans="1:16" ht="12.75">
      <c r="A121" s="2082" t="str">
        <f>项目基本情况!I1</f>
        <v>北京市房地产</v>
      </c>
      <c r="B121" s="2092">
        <f>项目基本情况!C12</f>
        <v>136.06</v>
      </c>
      <c r="C121" s="2092">
        <f>项目基本情况!C13</f>
        <v>0</v>
      </c>
      <c r="D121" s="2092">
        <f ca="1">ROUND(IF(B32="总价",C34,IF('数据-取费表'!B3="万元",E121*B121/10000,E121*B121)),0)</f>
        <v>4024247</v>
      </c>
      <c r="E121" s="2092">
        <f ca="1">ROUND(IF(B32="楼面单价",C34,IF(H19="元",D121/B121,D121*10000/B121)),0)</f>
        <v>29577</v>
      </c>
      <c r="F121" s="2092">
        <f ca="1">ROUND(IF(B32="总价",C35,IF('数据-取费表'!B3="万元",G121*B121/10000,G121*B121)),0)</f>
        <v>0</v>
      </c>
      <c r="G121" s="2092">
        <f ca="1">ROUND(IF(B32="楼面单价",C35,IF(H19="元",F121/B121,F121*10000/B121)),0)</f>
        <v>0</v>
      </c>
      <c r="H121" s="2092">
        <f ca="1">ROUND(IF(B32="总价",C32,IF('数据-取费表'!B3="万元",I121*B121/10000,I121*B121)),0)</f>
        <v>4024247</v>
      </c>
      <c r="I121" s="52">
        <f ca="1">ROUND(IF(B32="楼面单价",C32,IF(H19="元",H121/B121,H121*10000/B121)),0)</f>
        <v>29577</v>
      </c>
      <c r="J121" s="2849"/>
    </row>
    <row r="122" spans="1:16" ht="12.75">
      <c r="A122" s="3247" t="s">
        <v>2808</v>
      </c>
      <c r="B122" s="3248"/>
      <c r="C122" s="3248"/>
      <c r="D122" s="3275" t="str">
        <f ca="1">IF(H19="元",NUMBERSTRING(INT(D121),2)&amp;"元整",NUMBERSTRING(INT(D121*10000),2)&amp;"元整")</f>
        <v>肆佰零贰万肆仟贰佰肆拾柒元整</v>
      </c>
      <c r="E122" s="3318"/>
      <c r="F122" s="3275" t="str">
        <f ca="1">IF(H19="元",NUMBERSTRING(INT(F121),2)&amp;"元整",NUMBERSTRING(INT(F121*10000),2)&amp;"元整")</f>
        <v>零元整</v>
      </c>
      <c r="G122" s="3318"/>
      <c r="H122" s="3275" t="str">
        <f ca="1">IF(H19="元",NUMBERSTRING(INT(H121),2)&amp;"元整",NUMBERSTRING(INT(H121*10000),2)&amp;"元整")</f>
        <v>肆佰零贰万肆仟贰佰肆拾柒元整</v>
      </c>
      <c r="I122" s="3276"/>
      <c r="J122" s="2872"/>
    </row>
    <row r="123" spans="1:16" ht="12.75">
      <c r="A123" s="3252" t="str">
        <f>IF(项目基本情况!D5="房地产市场价值","——",MID(A108,3,LEN(A108)-2))</f>
        <v>——</v>
      </c>
      <c r="B123" s="3258"/>
      <c r="C123" s="3253"/>
      <c r="D123" s="3250">
        <f>I105</f>
        <v>0</v>
      </c>
      <c r="E123" s="3258"/>
      <c r="F123" s="3258"/>
      <c r="G123" s="3258"/>
      <c r="H123" s="3258"/>
      <c r="I123" s="3251"/>
      <c r="J123" s="2865"/>
    </row>
    <row r="124" spans="1:16" ht="12.75">
      <c r="A124" s="3319" t="s">
        <v>2808</v>
      </c>
      <c r="B124" s="3287"/>
      <c r="C124" s="3288"/>
      <c r="D124" s="3259">
        <f>H109</f>
        <v>0</v>
      </c>
      <c r="E124" s="3260"/>
      <c r="F124" s="3260"/>
      <c r="G124" s="3260"/>
      <c r="H124" s="3260"/>
      <c r="I124" s="3261"/>
      <c r="J124" s="2873"/>
    </row>
    <row r="125" spans="1:16" ht="12.75">
      <c r="A125" s="3262" t="str">
        <f>IF(项目基本情况!D5="房地产市场价值","——",MID(A112,3,LEN(A112)-2))</f>
        <v>——</v>
      </c>
      <c r="B125" s="3263"/>
      <c r="C125" s="3263"/>
      <c r="D125" s="3250">
        <f ca="1">I110</f>
        <v>4024247</v>
      </c>
      <c r="E125" s="3258"/>
      <c r="F125" s="3258"/>
      <c r="G125" s="3258"/>
      <c r="H125" s="3258"/>
      <c r="I125" s="3251"/>
      <c r="J125" s="2865"/>
    </row>
    <row r="126" spans="1:16" ht="12.75">
      <c r="A126" s="3247" t="s">
        <v>2808</v>
      </c>
      <c r="B126" s="3248"/>
      <c r="C126" s="3248"/>
      <c r="D126" s="3259">
        <f ca="1">I111</f>
        <v>29577</v>
      </c>
      <c r="E126" s="3260"/>
      <c r="F126" s="3260"/>
      <c r="G126" s="3260"/>
      <c r="H126" s="3260"/>
      <c r="I126" s="3261"/>
      <c r="J126" s="2873"/>
    </row>
    <row r="127" spans="1:16" ht="13.5" thickBot="1">
      <c r="A127" s="3262" t="str">
        <f>IF(项目基本情况!D5="房地产市场价值","——",MID(A114,3,LEN(A114)-2))</f>
        <v>——</v>
      </c>
      <c r="B127" s="3263"/>
      <c r="C127" s="3263"/>
      <c r="D127" s="3295" t="str">
        <f>I112</f>
        <v>——</v>
      </c>
      <c r="E127" s="3296"/>
      <c r="F127" s="3296"/>
      <c r="G127" s="3296"/>
      <c r="H127" s="3296"/>
      <c r="I127" s="3347"/>
      <c r="J127" s="2865"/>
    </row>
    <row r="128" spans="1:16" ht="14.25" thickTop="1" thickBot="1">
      <c r="A128" s="3247" t="s">
        <v>2808</v>
      </c>
      <c r="B128" s="3248"/>
      <c r="C128" s="3249"/>
      <c r="D128" s="3311" t="str">
        <f>I113</f>
        <v>——</v>
      </c>
      <c r="E128" s="3311"/>
      <c r="F128" s="3311"/>
      <c r="G128" s="3311"/>
      <c r="H128" s="3311"/>
      <c r="I128" s="3311"/>
      <c r="J128" s="2873"/>
    </row>
    <row r="129" spans="1:10" ht="14.25" thickTop="1" thickBot="1">
      <c r="A129" s="3262" t="str">
        <f>IF(项目基本情况!D5="房地产市场价值","——",MID(F114,3,LEN(F114)-2))</f>
        <v>——</v>
      </c>
      <c r="B129" s="3263"/>
      <c r="C129" s="3250"/>
      <c r="D129" s="3266" t="str">
        <f>I114</f>
        <v>——</v>
      </c>
      <c r="E129" s="3266"/>
      <c r="F129" s="3266"/>
      <c r="G129" s="3266"/>
      <c r="H129" s="3266"/>
      <c r="I129" s="3266"/>
      <c r="J129" s="2865"/>
    </row>
    <row r="130" spans="1:10" ht="14.25" thickTop="1" thickBot="1">
      <c r="A130" s="3271" t="s">
        <v>2808</v>
      </c>
      <c r="B130" s="3272"/>
      <c r="C130" s="3272"/>
      <c r="D130" s="3277">
        <f>H116</f>
        <v>0</v>
      </c>
      <c r="E130" s="3278"/>
      <c r="F130" s="3278"/>
      <c r="G130" s="3278"/>
      <c r="H130" s="3278"/>
      <c r="I130" s="3279"/>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45" t="str">
        <f>IF(B32="总价","（以上估价结果中楼面单价为总价除以建筑面积得出）","（以上估价结果中总价为楼面单价乘以建筑面积得出）")</f>
        <v>（以上估价结果中总价为楼面单价乘以建筑面积得出）</v>
      </c>
      <c r="B132" s="3245"/>
      <c r="C132" s="3245"/>
      <c r="D132" s="3245"/>
      <c r="E132" s="3245"/>
      <c r="F132" s="3245"/>
      <c r="G132" s="3245"/>
      <c r="H132" s="3245"/>
      <c r="I132" s="3245"/>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79" t="s">
        <v>1890</v>
      </c>
      <c r="B2" s="3379"/>
      <c r="C2" s="3379"/>
      <c r="D2" s="3379"/>
      <c r="E2" s="3379"/>
      <c r="F2" s="3379"/>
      <c r="G2" s="3379"/>
      <c r="H2" s="3379"/>
      <c r="I2" s="3379"/>
      <c r="J2" s="2878"/>
    </row>
    <row r="3" spans="1:15" ht="12.75">
      <c r="A3" s="3303" t="s">
        <v>1718</v>
      </c>
      <c r="B3" s="3304"/>
      <c r="C3" s="3304"/>
      <c r="D3" s="3304"/>
      <c r="E3" s="3304"/>
      <c r="F3" s="3304"/>
      <c r="G3" s="3304"/>
      <c r="H3" s="3304"/>
      <c r="I3" s="3304"/>
      <c r="J3" s="2848"/>
    </row>
    <row r="4" spans="1:15" ht="14.25">
      <c r="A4" s="2716" t="s">
        <v>1719</v>
      </c>
      <c r="B4" s="2716" t="s">
        <v>1720</v>
      </c>
      <c r="C4" s="2717"/>
      <c r="D4" s="2717"/>
      <c r="E4" s="3249" t="s">
        <v>1891</v>
      </c>
      <c r="F4" s="3287"/>
      <c r="G4" s="3287"/>
      <c r="H4" s="3287"/>
      <c r="I4" s="3288"/>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0" t="s">
        <v>1722</v>
      </c>
      <c r="B5" s="3280">
        <v>25</v>
      </c>
      <c r="C5" s="3289"/>
      <c r="D5" s="3302"/>
      <c r="E5" s="12" t="s">
        <v>1723</v>
      </c>
      <c r="F5" s="2089"/>
      <c r="G5" s="2089"/>
      <c r="H5" s="2089"/>
      <c r="I5" s="2084"/>
      <c r="J5" s="2849"/>
    </row>
    <row r="6" spans="1:15" ht="12.75">
      <c r="A6" s="3280"/>
      <c r="B6" s="3280"/>
      <c r="C6" s="3305"/>
      <c r="D6" s="3302"/>
      <c r="E6" s="12" t="s">
        <v>1724</v>
      </c>
      <c r="F6" s="2089"/>
      <c r="G6" s="2089"/>
      <c r="H6" s="2089"/>
      <c r="I6" s="2084"/>
      <c r="J6" s="2849"/>
    </row>
    <row r="7" spans="1:15" ht="12.75">
      <c r="A7" s="3280"/>
      <c r="B7" s="3280"/>
      <c r="C7" s="3290"/>
      <c r="D7" s="3302"/>
      <c r="E7" s="12" t="s">
        <v>1725</v>
      </c>
      <c r="F7" s="2089"/>
      <c r="G7" s="2089"/>
      <c r="H7" s="2089"/>
      <c r="I7" s="2084"/>
      <c r="J7" s="2849"/>
    </row>
    <row r="8" spans="1:15" ht="12.75">
      <c r="A8" s="3280" t="s">
        <v>1726</v>
      </c>
      <c r="B8" s="3280">
        <v>15</v>
      </c>
      <c r="C8" s="3289"/>
      <c r="D8" s="3302"/>
      <c r="E8" s="12" t="s">
        <v>1727</v>
      </c>
      <c r="F8" s="2089"/>
      <c r="G8" s="2089"/>
      <c r="H8" s="2089"/>
      <c r="I8" s="2084"/>
      <c r="J8" s="2849"/>
    </row>
    <row r="9" spans="1:15" ht="12.75">
      <c r="A9" s="3280"/>
      <c r="B9" s="3280"/>
      <c r="C9" s="3290"/>
      <c r="D9" s="3302"/>
      <c r="E9" s="12" t="s">
        <v>1728</v>
      </c>
      <c r="F9" s="2089"/>
      <c r="G9" s="2089"/>
      <c r="H9" s="2089"/>
      <c r="I9" s="2084"/>
      <c r="J9" s="2849"/>
    </row>
    <row r="10" spans="1:15" ht="12.75">
      <c r="A10" s="3280" t="s">
        <v>1729</v>
      </c>
      <c r="B10" s="3280">
        <v>15</v>
      </c>
      <c r="C10" s="3289"/>
      <c r="D10" s="3302"/>
      <c r="E10" s="12" t="s">
        <v>1730</v>
      </c>
      <c r="F10" s="2089"/>
      <c r="G10" s="2089"/>
      <c r="H10" s="2089"/>
      <c r="I10" s="2084"/>
      <c r="J10" s="2849"/>
    </row>
    <row r="11" spans="1:15" ht="12.75">
      <c r="A11" s="3280"/>
      <c r="B11" s="3280"/>
      <c r="C11" s="3290"/>
      <c r="D11" s="3302"/>
      <c r="E11" s="12" t="s">
        <v>1731</v>
      </c>
      <c r="F11" s="2089"/>
      <c r="G11" s="2089"/>
      <c r="H11" s="2089"/>
      <c r="I11" s="2084"/>
      <c r="J11" s="2849"/>
    </row>
    <row r="12" spans="1:15" ht="12.75">
      <c r="A12" s="3280" t="s">
        <v>1732</v>
      </c>
      <c r="B12" s="3280">
        <v>15</v>
      </c>
      <c r="C12" s="3289"/>
      <c r="D12" s="3302"/>
      <c r="E12" s="12" t="s">
        <v>1733</v>
      </c>
      <c r="F12" s="2089"/>
      <c r="G12" s="2089"/>
      <c r="H12" s="2089"/>
      <c r="I12" s="2084"/>
      <c r="J12" s="2849"/>
    </row>
    <row r="13" spans="1:15" ht="12.75">
      <c r="A13" s="3280"/>
      <c r="B13" s="3280"/>
      <c r="C13" s="3290"/>
      <c r="D13" s="3302"/>
      <c r="E13" s="12" t="s">
        <v>1734</v>
      </c>
      <c r="F13" s="2089"/>
      <c r="G13" s="2089"/>
      <c r="H13" s="2089"/>
      <c r="I13" s="2084"/>
      <c r="J13" s="2849"/>
    </row>
    <row r="14" spans="1:15" ht="12.75">
      <c r="A14" s="3280" t="s">
        <v>1735</v>
      </c>
      <c r="B14" s="3280">
        <v>30</v>
      </c>
      <c r="C14" s="3289"/>
      <c r="D14" s="3302"/>
      <c r="E14" s="12" t="s">
        <v>1736</v>
      </c>
      <c r="F14" s="2089"/>
      <c r="G14" s="2089"/>
      <c r="H14" s="2089"/>
      <c r="I14" s="2084"/>
      <c r="J14" s="2849"/>
    </row>
    <row r="15" spans="1:15" ht="12.75">
      <c r="A15" s="3280"/>
      <c r="B15" s="3280"/>
      <c r="C15" s="3305"/>
      <c r="D15" s="3302"/>
      <c r="E15" s="12" t="s">
        <v>1737</v>
      </c>
      <c r="F15" s="2089"/>
      <c r="G15" s="2089"/>
      <c r="H15" s="2089"/>
      <c r="I15" s="2084"/>
      <c r="J15" s="2849"/>
    </row>
    <row r="16" spans="1:15" ht="12.75">
      <c r="A16" s="3280"/>
      <c r="B16" s="3280"/>
      <c r="C16" s="3290"/>
      <c r="D16" s="3302"/>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298" t="s">
        <v>2827</v>
      </c>
      <c r="F18" s="3299"/>
      <c r="G18" s="3299"/>
      <c r="H18" s="3299"/>
      <c r="I18" s="3299"/>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291" t="s">
        <v>1747</v>
      </c>
      <c r="B24" s="2724" t="s">
        <v>1742</v>
      </c>
      <c r="C24" s="2727">
        <f>D30</f>
        <v>0</v>
      </c>
      <c r="D24" s="2679"/>
      <c r="E24" s="947"/>
      <c r="F24" s="947"/>
      <c r="G24" s="947"/>
      <c r="H24" s="947"/>
      <c r="I24" s="947"/>
      <c r="J24" s="2850"/>
    </row>
    <row r="25" spans="1:36" ht="21.75" customHeight="1">
      <c r="A25" s="3308"/>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2831</v>
      </c>
      <c r="F30" s="2566"/>
      <c r="G30" s="2566"/>
      <c r="H30" s="2566"/>
      <c r="I30" s="2566"/>
      <c r="J30" s="2850"/>
    </row>
    <row r="31" spans="1:36" s="2843" customFormat="1" ht="27.6"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56" t="s">
        <v>1894</v>
      </c>
      <c r="B32" s="3356"/>
      <c r="C32" s="3356"/>
      <c r="D32" s="3356"/>
      <c r="E32" s="3356"/>
      <c r="F32" s="3356"/>
      <c r="G32" s="3356"/>
      <c r="H32" s="3356"/>
      <c r="I32" s="3356"/>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291" t="s">
        <v>1903</v>
      </c>
      <c r="B38" s="1468" t="s">
        <v>1904</v>
      </c>
      <c r="C38" s="2760"/>
      <c r="D38" s="2761"/>
      <c r="E38" s="1680"/>
      <c r="F38" s="1680"/>
      <c r="G38" s="947"/>
      <c r="H38" s="947"/>
      <c r="I38" s="947"/>
      <c r="J38" s="2850"/>
    </row>
    <row r="39" spans="1:16" ht="15.75" thickBot="1">
      <c r="A39" s="3292"/>
      <c r="B39" s="2094" t="s">
        <v>1905</v>
      </c>
      <c r="C39" s="2762"/>
      <c r="D39" s="1311"/>
      <c r="E39" s="1311"/>
      <c r="F39" s="1680"/>
      <c r="G39" s="1311"/>
      <c r="H39" s="1311"/>
      <c r="I39" s="1311"/>
      <c r="J39" s="2854"/>
    </row>
    <row r="40" spans="1:16" ht="15.75" thickBot="1">
      <c r="A40" s="3293"/>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2826</v>
      </c>
      <c r="J46" s="2880"/>
      <c r="K46" s="1475" t="s">
        <v>1770</v>
      </c>
      <c r="L46" s="1476"/>
      <c r="M46" s="1476"/>
      <c r="N46" s="1476"/>
      <c r="O46" s="1476"/>
      <c r="P46" s="1476"/>
    </row>
    <row r="47" spans="1:16" ht="14.25" customHeight="1" thickBot="1">
      <c r="A47" s="3295" t="s">
        <v>1916</v>
      </c>
      <c r="B47" s="3296"/>
      <c r="C47" s="3255"/>
      <c r="D47" s="246">
        <f>ROUND(I104*F47,0)</f>
        <v>0</v>
      </c>
      <c r="E47" s="1542" t="s">
        <v>1917</v>
      </c>
      <c r="F47" s="2564">
        <v>1</v>
      </c>
      <c r="G47" s="2565" t="s">
        <v>1918</v>
      </c>
      <c r="H47" s="947"/>
      <c r="I47" s="947"/>
      <c r="J47" s="2850"/>
      <c r="K47" s="3381" t="s">
        <v>1774</v>
      </c>
      <c r="L47" s="3381"/>
      <c r="M47" s="3381"/>
      <c r="N47" s="3381"/>
      <c r="O47" s="3381"/>
      <c r="P47" s="3381"/>
    </row>
    <row r="48" spans="1:16" ht="14.25" customHeight="1">
      <c r="A48" s="3284" t="s">
        <v>1775</v>
      </c>
      <c r="B48" s="3285"/>
      <c r="C48" s="3285"/>
      <c r="D48" s="3285"/>
      <c r="E48" s="3285"/>
      <c r="F48" s="3285"/>
      <c r="G48" s="3286"/>
      <c r="H48" s="2982"/>
      <c r="I48" s="947"/>
      <c r="J48" s="2850"/>
      <c r="K48" s="2516">
        <v>1</v>
      </c>
      <c r="L48" s="3376" t="s">
        <v>1776</v>
      </c>
      <c r="M48" s="3376"/>
      <c r="N48" s="3382"/>
      <c r="O48" s="3382"/>
      <c r="P48" s="3382"/>
    </row>
    <row r="49" spans="1:17" ht="12" customHeight="1">
      <c r="A49" s="38" t="s">
        <v>1777</v>
      </c>
      <c r="B49" s="39"/>
      <c r="C49" s="40"/>
      <c r="D49" s="1099" t="s">
        <v>1778</v>
      </c>
      <c r="E49" s="235" t="s">
        <v>1779</v>
      </c>
      <c r="F49" s="41" t="s">
        <v>1780</v>
      </c>
      <c r="G49" s="2567" t="s">
        <v>1781</v>
      </c>
      <c r="H49" s="2982"/>
      <c r="I49" s="947"/>
      <c r="J49" s="2850"/>
      <c r="K49" s="2516">
        <v>2</v>
      </c>
      <c r="L49" s="3376" t="s">
        <v>1782</v>
      </c>
      <c r="M49" s="3376"/>
      <c r="N49" s="3383">
        <f>'数据-取费表'!B2</f>
        <v>43964</v>
      </c>
      <c r="O49" s="3383"/>
      <c r="P49" s="3383"/>
    </row>
    <row r="50" spans="1:17" ht="25.5">
      <c r="A50" s="3294" t="s">
        <v>1783</v>
      </c>
      <c r="B50" s="3248"/>
      <c r="C50" s="3248"/>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376" t="s">
        <v>1786</v>
      </c>
      <c r="M50" s="3376"/>
      <c r="N50" s="3377">
        <f>I104</f>
        <v>0</v>
      </c>
      <c r="O50" s="3377"/>
      <c r="P50" s="3377"/>
    </row>
    <row r="51" spans="1:17" ht="25.5" customHeight="1">
      <c r="A51" s="2091" t="s">
        <v>1787</v>
      </c>
      <c r="B51" s="3287" t="s">
        <v>1788</v>
      </c>
      <c r="C51" s="3287"/>
      <c r="D51" s="2571">
        <v>0</v>
      </c>
      <c r="E51" s="261" t="s">
        <v>1789</v>
      </c>
      <c r="F51" s="2572" t="s">
        <v>48</v>
      </c>
      <c r="G51" s="3344"/>
      <c r="H51" s="2573" t="s">
        <v>2751</v>
      </c>
      <c r="I51" s="2574"/>
      <c r="J51" s="2858"/>
      <c r="K51" s="2516">
        <v>4</v>
      </c>
      <c r="L51" s="3376" t="str">
        <f>IF(项目基本情况!F5="房地产抵押价值","房地产抵押价值","抵押担保权已注销时的房地产抵押价值")</f>
        <v>抵押担保权已注销时的房地产抵押价值</v>
      </c>
      <c r="M51" s="3376"/>
      <c r="N51" s="3377" t="str">
        <f>IF(项目基本情况!F5="房地产抵押价值",I112,I114)</f>
        <v>——</v>
      </c>
      <c r="O51" s="3377"/>
      <c r="P51" s="3377"/>
    </row>
    <row r="52" spans="1:17" ht="25.5" customHeight="1">
      <c r="A52" s="2081"/>
      <c r="B52" s="3287" t="s">
        <v>1790</v>
      </c>
      <c r="C52" s="3287"/>
      <c r="D52" s="2575"/>
      <c r="E52" s="269"/>
      <c r="F52" s="2572"/>
      <c r="G52" s="3345"/>
      <c r="H52" s="2576" t="s">
        <v>2752</v>
      </c>
      <c r="I52" s="2574"/>
      <c r="J52" s="2858"/>
      <c r="K52" s="3376" t="s">
        <v>1791</v>
      </c>
      <c r="L52" s="3376"/>
      <c r="M52" s="3376"/>
      <c r="N52" s="3376"/>
      <c r="O52" s="3376"/>
      <c r="P52" s="3376"/>
    </row>
    <row r="53" spans="1:17" ht="20.45" customHeight="1">
      <c r="A53" s="2577"/>
      <c r="B53" s="3287" t="s">
        <v>1792</v>
      </c>
      <c r="C53" s="3287"/>
      <c r="D53" s="1099"/>
      <c r="E53" s="264"/>
      <c r="F53" s="2572"/>
      <c r="G53" s="3346"/>
      <c r="H53" s="2576" t="s">
        <v>2753</v>
      </c>
      <c r="I53" s="2574"/>
      <c r="J53" s="2858"/>
      <c r="K53" s="2517" t="s">
        <v>1793</v>
      </c>
      <c r="L53" s="3376" t="s">
        <v>1794</v>
      </c>
      <c r="M53" s="3376"/>
      <c r="N53" s="2517" t="s">
        <v>1795</v>
      </c>
      <c r="O53" s="2517" t="s">
        <v>1796</v>
      </c>
      <c r="P53" s="2517" t="s">
        <v>1797</v>
      </c>
    </row>
    <row r="54" spans="1:17" ht="24" customHeight="1">
      <c r="A54" s="2082" t="s">
        <v>1798</v>
      </c>
      <c r="B54" s="3287" t="s">
        <v>1799</v>
      </c>
      <c r="C54" s="3287"/>
      <c r="D54" s="1099">
        <f>ROUND(D47*'数据-取费表'!E29/(1+'数据-取费表'!F30),0)</f>
        <v>0</v>
      </c>
      <c r="E54" s="2092" t="s">
        <v>1800</v>
      </c>
      <c r="F54" s="2578">
        <f>'数据-取费表'!E29</f>
        <v>5.6000000000000001E-2</v>
      </c>
      <c r="G54" s="2579"/>
      <c r="H54" s="947"/>
      <c r="I54" s="2983"/>
      <c r="J54" s="2858"/>
      <c r="K54" s="2516">
        <v>1</v>
      </c>
      <c r="L54" s="3372" t="s">
        <v>1801</v>
      </c>
      <c r="M54" s="3372"/>
      <c r="N54" s="2518">
        <f>D50</f>
        <v>0</v>
      </c>
      <c r="O54" s="2516" t="str">
        <f>E50</f>
        <v>销售额×税（费）率</v>
      </c>
      <c r="P54" s="2519">
        <f>F50</f>
        <v>5.6000000000000001E-2</v>
      </c>
    </row>
    <row r="55" spans="1:17" ht="12" customHeight="1">
      <c r="A55" s="2082" t="s">
        <v>1802</v>
      </c>
      <c r="B55" s="3249" t="s">
        <v>2845</v>
      </c>
      <c r="C55" s="3288"/>
      <c r="D55" s="1099">
        <f>ROUND(D47*'数据-取费表'!E29/(1+'数据-取费表'!F30),0)</f>
        <v>0</v>
      </c>
      <c r="E55" s="2092" t="s">
        <v>1800</v>
      </c>
      <c r="F55" s="2578">
        <f>'数据-取费表'!E29</f>
        <v>5.6000000000000001E-2</v>
      </c>
      <c r="G55" s="2579"/>
      <c r="H55" s="947"/>
      <c r="I55" s="2983"/>
      <c r="J55" s="2858"/>
      <c r="K55" s="2516">
        <v>2</v>
      </c>
      <c r="L55" s="3372" t="s">
        <v>1803</v>
      </c>
      <c r="M55" s="3372"/>
      <c r="N55" s="2518">
        <f t="shared" ref="N55:P56" si="1">D57</f>
        <v>0</v>
      </c>
      <c r="O55" s="2516" t="str">
        <f t="shared" si="1"/>
        <v>销售额×税（费）率</v>
      </c>
      <c r="P55" s="2519">
        <f t="shared" si="1"/>
        <v>5.0000000000000001E-4</v>
      </c>
    </row>
    <row r="56" spans="1:17" ht="12" customHeight="1">
      <c r="A56" s="2082" t="s">
        <v>1804</v>
      </c>
      <c r="B56" s="3249" t="s">
        <v>2846</v>
      </c>
      <c r="C56" s="3288"/>
      <c r="D56" s="1099">
        <f>C70</f>
        <v>0</v>
      </c>
      <c r="E56" s="264" t="s">
        <v>1805</v>
      </c>
      <c r="F56" s="2578">
        <f>'数据-取费表'!E29</f>
        <v>5.6000000000000001E-2</v>
      </c>
      <c r="G56" s="2579"/>
      <c r="H56" s="2984"/>
      <c r="I56" s="2983"/>
      <c r="J56" s="2858"/>
      <c r="K56" s="2516">
        <v>3</v>
      </c>
      <c r="L56" s="3372" t="s">
        <v>1806</v>
      </c>
      <c r="M56" s="3372"/>
      <c r="N56" s="2518">
        <f t="shared" si="1"/>
        <v>0</v>
      </c>
      <c r="O56" s="2516" t="str">
        <f t="shared" si="1"/>
        <v>增值额×税（费）率</v>
      </c>
      <c r="P56" s="2520" t="str">
        <f t="shared" si="1"/>
        <v>——</v>
      </c>
    </row>
    <row r="57" spans="1:17" ht="24" customHeight="1">
      <c r="A57" s="3247" t="s">
        <v>1807</v>
      </c>
      <c r="B57" s="3248"/>
      <c r="C57" s="3248"/>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72" t="str">
        <f>IF(H61="非个人房产","——","个人所得税")</f>
        <v>个人所得税</v>
      </c>
      <c r="M57" s="3372"/>
      <c r="N57" s="2521">
        <f>D61</f>
        <v>0</v>
      </c>
      <c r="O57" s="2522" t="str">
        <f>E61</f>
        <v>销售额×税（费）率</v>
      </c>
      <c r="P57" s="2523">
        <f>F61</f>
        <v>0.01</v>
      </c>
    </row>
    <row r="58" spans="1:17" ht="24.75">
      <c r="A58" s="3247" t="s">
        <v>1810</v>
      </c>
      <c r="B58" s="3248"/>
      <c r="C58" s="3248"/>
      <c r="D58" s="12">
        <f>IF(H58="个人住宅",D59,D60)</f>
        <v>0</v>
      </c>
      <c r="E58" s="2092" t="s">
        <v>1811</v>
      </c>
      <c r="F58" s="2578" t="str">
        <f>IF(H58="正常",F60,"免征")</f>
        <v>——</v>
      </c>
      <c r="G58" s="2580" t="s">
        <v>1812</v>
      </c>
      <c r="H58" s="2581" t="s">
        <v>1809</v>
      </c>
      <c r="I58" s="2985"/>
      <c r="J58" s="2858"/>
      <c r="K58" s="2516" t="str">
        <f>IF(项目基本情况!I6="上海银行",IF(K57="",4,K57+1),"")</f>
        <v/>
      </c>
      <c r="L58" s="3374" t="str">
        <f>IF(项目基本情况!I6="上海银行","其他处置费用","")</f>
        <v/>
      </c>
      <c r="M58" s="3375"/>
      <c r="N58" s="2518" t="str">
        <f>IF(项目基本情况!I6="上海银行",N71,"")</f>
        <v/>
      </c>
      <c r="O58" s="3374" t="str">
        <f>IF(项目基本情况!I6="上海银行","包含处置中涉及的律师、诉讼、拍卖、评估等费用","")</f>
        <v/>
      </c>
      <c r="P58" s="3378"/>
    </row>
    <row r="59" spans="1:17" ht="12.75">
      <c r="A59" s="2082" t="s">
        <v>1787</v>
      </c>
      <c r="B59" s="3249" t="s">
        <v>1813</v>
      </c>
      <c r="C59" s="3288"/>
      <c r="D59" s="2571">
        <v>0</v>
      </c>
      <c r="E59" s="261" t="s">
        <v>1789</v>
      </c>
      <c r="F59" s="235"/>
      <c r="G59" s="2579"/>
      <c r="H59" s="2985"/>
      <c r="I59" s="2985"/>
      <c r="J59" s="2858"/>
      <c r="K59" s="3372">
        <f>IF(AND(K57="",K58=""),4,IF(项目基本情况!I6="上海银行",K58+1,K57+1))</f>
        <v>5</v>
      </c>
      <c r="L59" s="3372" t="s">
        <v>1814</v>
      </c>
      <c r="M59" s="2524" t="s">
        <v>1815</v>
      </c>
      <c r="N59" s="2525"/>
      <c r="O59" s="2526">
        <f>SUMIF(N54:N58,"&lt;9e307")</f>
        <v>0</v>
      </c>
      <c r="P59" s="2527"/>
      <c r="Q59" s="1306" t="e">
        <f>O59/N51</f>
        <v>#VALUE!</v>
      </c>
    </row>
    <row r="60" spans="1:17" ht="24.75">
      <c r="A60" s="2082" t="s">
        <v>1798</v>
      </c>
      <c r="B60" s="3249" t="s">
        <v>1816</v>
      </c>
      <c r="C60" s="3287"/>
      <c r="D60" s="12">
        <f>IF(H60="转让取得",C83,C99)</f>
        <v>0</v>
      </c>
      <c r="E60" s="2092" t="s">
        <v>1811</v>
      </c>
      <c r="F60" s="235" t="s">
        <v>48</v>
      </c>
      <c r="G60" s="2579"/>
      <c r="H60" s="2581" t="s">
        <v>1817</v>
      </c>
      <c r="I60" s="2985"/>
      <c r="J60" s="2858"/>
      <c r="K60" s="3372"/>
      <c r="L60" s="3372"/>
      <c r="M60" s="2524" t="s">
        <v>1818</v>
      </c>
      <c r="N60" s="2528"/>
      <c r="O60" s="2529" t="str">
        <f>IF(H19="元",NUMBERSTRING(INT(O59),2)&amp;"元整",NUMBERSTRING(INT(O59*10000),2)&amp;"元整")</f>
        <v>零元整</v>
      </c>
      <c r="P60" s="2530"/>
    </row>
    <row r="61" spans="1:17" ht="26.25" thickBot="1">
      <c r="A61" s="3271" t="s">
        <v>1819</v>
      </c>
      <c r="B61" s="3272"/>
      <c r="C61" s="327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2824</v>
      </c>
      <c r="H61" s="2096" t="s">
        <v>2750</v>
      </c>
      <c r="I61" s="2886" t="s">
        <v>2836</v>
      </c>
      <c r="J61" s="2858"/>
      <c r="K61" s="3370">
        <f>K59+1</f>
        <v>6</v>
      </c>
      <c r="L61" s="3372" t="s">
        <v>1820</v>
      </c>
      <c r="M61" s="2516" t="s">
        <v>1815</v>
      </c>
      <c r="N61" s="2531"/>
      <c r="O61" s="2532" t="e">
        <f>N51-O59</f>
        <v>#VALUE!</v>
      </c>
      <c r="P61" s="2533"/>
    </row>
    <row r="62" spans="1:17" ht="12" customHeight="1">
      <c r="A62" s="1457"/>
      <c r="B62" s="2566"/>
      <c r="C62" s="2566"/>
      <c r="D62" s="2566"/>
      <c r="E62" s="1457"/>
      <c r="F62" s="2985"/>
      <c r="G62" s="2985"/>
      <c r="H62" s="2980"/>
      <c r="I62" s="947"/>
      <c r="J62" s="2858"/>
      <c r="K62" s="3371"/>
      <c r="L62" s="3372"/>
      <c r="M62" s="2524" t="s">
        <v>1818</v>
      </c>
      <c r="N62" s="2528"/>
      <c r="O62" s="2529" t="e">
        <f>IF(H19="元",NUMBERSTRING(INT(O61),2)&amp;"元整",NUMBERSTRING(INT(O61*10000),2)&amp;"元整")</f>
        <v>#VALUE!</v>
      </c>
      <c r="P62" s="2530"/>
    </row>
    <row r="63" spans="1:17" ht="13.5" thickBot="1">
      <c r="A63" s="3373" t="s">
        <v>1821</v>
      </c>
      <c r="B63" s="3373"/>
      <c r="C63" s="3373"/>
      <c r="D63" s="3373"/>
      <c r="E63" s="3373"/>
      <c r="F63" s="2985"/>
      <c r="G63" s="2985"/>
      <c r="H63" s="2980"/>
      <c r="I63" s="947"/>
      <c r="J63" s="2850"/>
      <c r="K63" s="2516">
        <f>K61+1</f>
        <v>7</v>
      </c>
      <c r="L63" s="3372" t="s">
        <v>1822</v>
      </c>
      <c r="M63" s="3372"/>
      <c r="N63" s="2534"/>
      <c r="O63" s="2535" t="e">
        <f>IF(H19="元",ROUND(O61/项目基本情况!C12,0),ROUND(O61*10000/项目基本情况!C12,0))</f>
        <v>#VALUE!</v>
      </c>
      <c r="P63" s="2536"/>
    </row>
    <row r="64" spans="1:17" ht="12.75">
      <c r="A64" s="3306" t="s">
        <v>1823</v>
      </c>
      <c r="B64" s="3307"/>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80"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80"/>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80"/>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80"/>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80"/>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380"/>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80"/>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67" t="s">
        <v>1843</v>
      </c>
      <c r="B72" s="3368"/>
      <c r="C72" s="3368"/>
      <c r="D72" s="3368"/>
      <c r="E72" s="3368"/>
      <c r="F72" s="3368"/>
      <c r="G72" s="3368"/>
      <c r="H72" s="3368"/>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6" t="s">
        <v>1823</v>
      </c>
      <c r="B73" s="3307"/>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49" t="s">
        <v>1853</v>
      </c>
      <c r="F78" s="3287"/>
      <c r="G78" s="3287"/>
      <c r="H78" s="3301"/>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281" t="s">
        <v>1858</v>
      </c>
      <c r="F80" s="3282"/>
      <c r="G80" s="3282"/>
      <c r="H80" s="3283"/>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67" t="s">
        <v>1862</v>
      </c>
      <c r="B85" s="3368"/>
      <c r="C85" s="3368"/>
      <c r="D85" s="3368"/>
      <c r="E85" s="3368"/>
      <c r="F85" s="3368"/>
      <c r="G85" s="3368"/>
      <c r="H85" s="3368"/>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6" t="s">
        <v>1823</v>
      </c>
      <c r="B86" s="3307"/>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42" t="s">
        <v>2745</v>
      </c>
      <c r="H92" s="3369"/>
      <c r="I92" s="608"/>
      <c r="J92" s="2882"/>
      <c r="K92" s="2977"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81" t="s">
        <v>1870</v>
      </c>
      <c r="F93" s="3282"/>
      <c r="G93" s="328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81" t="s">
        <v>1873</v>
      </c>
      <c r="F94" s="3282"/>
      <c r="G94" s="3282"/>
      <c r="H94" s="3283"/>
      <c r="I94" s="608"/>
      <c r="J94" s="2882"/>
      <c r="K94" s="2978"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281" t="s">
        <v>1858</v>
      </c>
      <c r="F95" s="3282"/>
      <c r="G95" s="3282"/>
      <c r="H95" s="3283"/>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81" t="s">
        <v>1875</v>
      </c>
      <c r="F96" s="3282"/>
      <c r="G96" s="3282"/>
      <c r="H96" s="3283"/>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28" t="s">
        <v>1877</v>
      </c>
      <c r="B101" s="3329"/>
      <c r="C101" s="3329"/>
      <c r="D101" s="3330"/>
      <c r="E101" s="1461"/>
      <c r="F101" s="3364" t="s">
        <v>2787</v>
      </c>
      <c r="G101" s="3365"/>
      <c r="H101" s="3365"/>
      <c r="I101" s="3366"/>
      <c r="J101" s="2885"/>
    </row>
    <row r="102" spans="1:36" ht="15">
      <c r="A102" s="3340" t="s">
        <v>1879</v>
      </c>
      <c r="B102" s="3341"/>
      <c r="C102" s="2808">
        <f>C4</f>
        <v>0</v>
      </c>
      <c r="D102" s="2809">
        <f>D4</f>
        <v>0</v>
      </c>
      <c r="E102" s="1461"/>
      <c r="F102" s="3252" t="s">
        <v>2788</v>
      </c>
      <c r="G102" s="3253"/>
      <c r="H102" s="3258" t="s">
        <v>2789</v>
      </c>
      <c r="I102" s="3251"/>
      <c r="J102" s="2865"/>
    </row>
    <row r="103" spans="1:36" ht="12.75">
      <c r="A103" s="3361" t="s">
        <v>2783</v>
      </c>
      <c r="B103" s="2309" t="str">
        <f>IF(H19="元","总价（元）","总价（万元）")</f>
        <v>总价（元）</v>
      </c>
      <c r="C103" s="1307" t="e">
        <f ca="1">C19</f>
        <v>#REF!</v>
      </c>
      <c r="D103" s="2812" t="e">
        <f ca="1">D19</f>
        <v>#REF!</v>
      </c>
      <c r="E103" s="1461"/>
      <c r="F103" s="3362"/>
      <c r="G103" s="3363"/>
      <c r="H103" s="3250">
        <f>典型户型修正!B25</f>
        <v>0</v>
      </c>
      <c r="I103" s="3251"/>
      <c r="J103" s="2865"/>
    </row>
    <row r="104" spans="1:36" ht="12.75">
      <c r="A104" s="3361"/>
      <c r="B104" s="2309" t="s">
        <v>2784</v>
      </c>
      <c r="C104" s="2813" t="e">
        <f ca="1">C20</f>
        <v>#REF!</v>
      </c>
      <c r="D104" s="2814" t="e">
        <f ca="1">D20</f>
        <v>#REF!</v>
      </c>
      <c r="E104" s="1461"/>
      <c r="F104" s="3262" t="s">
        <v>2790</v>
      </c>
      <c r="G104" s="3263"/>
      <c r="H104" s="2822" t="str">
        <f>C110</f>
        <v>总价（元）</v>
      </c>
      <c r="I104" s="2823">
        <f>H125</f>
        <v>0</v>
      </c>
      <c r="J104" s="2865"/>
    </row>
    <row r="105" spans="1:36" ht="12.75">
      <c r="A105" s="3361" t="s">
        <v>2785</v>
      </c>
      <c r="B105" s="2247" t="str">
        <f>B103</f>
        <v>总价（元）</v>
      </c>
      <c r="C105" s="12" t="e">
        <f ca="1">ROUND(IF('数据-取费表'!B4="总价",G19,IF(H19="元",G20*'数据-取费表'!E5,G20*'数据-取费表'!E5/10000)),0)</f>
        <v>#REF!</v>
      </c>
      <c r="D105" s="2815"/>
      <c r="E105" s="1461"/>
      <c r="F105" s="3262"/>
      <c r="G105" s="3263"/>
      <c r="H105" s="2822" t="s">
        <v>2791</v>
      </c>
      <c r="I105" s="52" t="e">
        <f>I125</f>
        <v>#DIV/0!</v>
      </c>
      <c r="J105" s="2849"/>
    </row>
    <row r="106" spans="1:36" ht="12.75">
      <c r="A106" s="3361"/>
      <c r="B106" s="2309" t="s">
        <v>2784</v>
      </c>
      <c r="C106" s="1481" t="e">
        <f ca="1">ROUND(IF('数据-取费表'!B4="楼面单价",G20,IF(H19="元",G19/'数据-取费表'!E5,G19*10000/'数据-取费表'!E5)),0)</f>
        <v>#REF!</v>
      </c>
      <c r="D106" s="2815"/>
      <c r="E106" s="1461"/>
      <c r="F106" s="3262"/>
      <c r="G106" s="3263"/>
      <c r="H106" s="3322"/>
      <c r="I106" s="3323"/>
      <c r="J106" s="2866"/>
    </row>
    <row r="107" spans="1:36" ht="12.75">
      <c r="A107" s="3355" t="s">
        <v>2786</v>
      </c>
      <c r="B107" s="2816" t="str">
        <f>B103</f>
        <v>总价（元）</v>
      </c>
      <c r="C107" s="2817">
        <f>H125</f>
        <v>0</v>
      </c>
      <c r="D107" s="2818"/>
      <c r="E107" s="1461"/>
      <c r="F107" s="3326" t="s">
        <v>2792</v>
      </c>
      <c r="G107" s="3327"/>
      <c r="H107" s="2824" t="str">
        <f>C112</f>
        <v>总额（元）</v>
      </c>
      <c r="I107" s="2823">
        <f>SUMIF(I108:I110,"&lt;9E307")</f>
        <v>0</v>
      </c>
      <c r="J107" s="2865"/>
    </row>
    <row r="108" spans="1:36" ht="15" thickBot="1">
      <c r="A108" s="3321"/>
      <c r="B108" s="2819" t="s">
        <v>2784</v>
      </c>
      <c r="C108" s="2820" t="e">
        <f>I125</f>
        <v>#DIV/0!</v>
      </c>
      <c r="D108" s="2821"/>
      <c r="E108" s="1461"/>
      <c r="F108" s="3264" t="s">
        <v>2793</v>
      </c>
      <c r="G108" s="3265"/>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58" t="s">
        <v>1880</v>
      </c>
      <c r="B109" s="3359"/>
      <c r="C109" s="3359"/>
      <c r="D109" s="3360"/>
      <c r="E109" s="1461"/>
      <c r="F109" s="3264" t="s">
        <v>2794</v>
      </c>
      <c r="G109" s="3265"/>
      <c r="H109" s="2824" t="str">
        <f>C114</f>
        <v>总额（元）</v>
      </c>
      <c r="I109" s="52">
        <f>C39</f>
        <v>0</v>
      </c>
      <c r="J109" s="2849"/>
    </row>
    <row r="110" spans="1:36" ht="12.75">
      <c r="A110" s="3262" t="s">
        <v>2797</v>
      </c>
      <c r="B110" s="3263"/>
      <c r="C110" s="2822" t="str">
        <f>B103</f>
        <v>总价（元）</v>
      </c>
      <c r="D110" s="2823">
        <f>H125</f>
        <v>0</v>
      </c>
      <c r="E110" s="1461"/>
      <c r="F110" s="3264" t="s">
        <v>2795</v>
      </c>
      <c r="G110" s="3265"/>
      <c r="H110" s="2824" t="str">
        <f>C115</f>
        <v>总额（元）</v>
      </c>
      <c r="I110" s="52">
        <f>C40</f>
        <v>0</v>
      </c>
      <c r="J110" s="2849"/>
    </row>
    <row r="111" spans="1:36" ht="12.75">
      <c r="A111" s="3262"/>
      <c r="B111" s="3263"/>
      <c r="C111" s="2822" t="s">
        <v>2798</v>
      </c>
      <c r="D111" s="52" t="e">
        <f>I125</f>
        <v>#DIV/0!</v>
      </c>
      <c r="E111" s="1461"/>
      <c r="F111" s="3262"/>
      <c r="G111" s="3263"/>
      <c r="H111" s="3324"/>
      <c r="I111" s="3325"/>
      <c r="J111" s="2867"/>
    </row>
    <row r="112" spans="1:36" ht="28.5" customHeight="1">
      <c r="A112" s="3269" t="s">
        <v>2792</v>
      </c>
      <c r="B112" s="3270"/>
      <c r="C112" s="2824" t="str">
        <f>IF(H19="元","总额（元）","总额（万元）")</f>
        <v>总额（元）</v>
      </c>
      <c r="D112" s="2823">
        <f>IF(D38="正常操作",I108+I109+I110,I109+I110)</f>
        <v>0</v>
      </c>
      <c r="E112" s="1461"/>
      <c r="F112" s="3254" t="str">
        <f>IF(项目基本情况!F5="已注销","——","3.房地产抵押价值")</f>
        <v>3.房地产抵押价值</v>
      </c>
      <c r="G112" s="3255"/>
      <c r="H112" s="1481" t="str">
        <f>C116</f>
        <v>总价（元）</v>
      </c>
      <c r="I112" s="2823">
        <f>IF(F112="——","——",I104-I107)</f>
        <v>0</v>
      </c>
      <c r="J112" s="2865"/>
    </row>
    <row r="113" spans="1:27" ht="12.75">
      <c r="A113" s="3264" t="s">
        <v>2799</v>
      </c>
      <c r="B113" s="3265"/>
      <c r="C113" s="2824" t="str">
        <f>C112</f>
        <v>总额（元）</v>
      </c>
      <c r="D113" s="52">
        <f>IF(D38="同一抵押权人同一抵押物续贷",C38&amp;"（未扣减，详见特别提示）",C38)</f>
        <v>0</v>
      </c>
      <c r="E113" s="1461"/>
      <c r="F113" s="3353"/>
      <c r="G113" s="3354"/>
      <c r="H113" s="2822" t="s">
        <v>2791</v>
      </c>
      <c r="I113" s="2826" t="e">
        <f>D117</f>
        <v>#DIV/0!</v>
      </c>
      <c r="J113" s="2868"/>
    </row>
    <row r="114" spans="1:27" ht="12.75">
      <c r="A114" s="3264" t="s">
        <v>2800</v>
      </c>
      <c r="B114" s="3265"/>
      <c r="C114" s="2824" t="str">
        <f>C112</f>
        <v>总额（元）</v>
      </c>
      <c r="D114" s="52">
        <f>C39</f>
        <v>0</v>
      </c>
      <c r="E114" s="1461"/>
      <c r="F114" s="3254" t="str">
        <f>IF(项目基本情况!F5="已注销及未注销","4.抵押担保权已注销时的房地产抵押价值",IF(项目基本情况!F5="已注销","3.抵押担保权已注销时的房地产抵押价值","——"))</f>
        <v>——</v>
      </c>
      <c r="G114" s="3255"/>
      <c r="H114" s="1481" t="str">
        <f>C118</f>
        <v>总价（元）</v>
      </c>
      <c r="I114" s="2823" t="str">
        <f>IF(F114="——","——",I104-I109-I110)</f>
        <v>——</v>
      </c>
      <c r="J114" s="2865"/>
    </row>
    <row r="115" spans="1:27" ht="12.75">
      <c r="A115" s="3264" t="s">
        <v>2801</v>
      </c>
      <c r="B115" s="3265"/>
      <c r="C115" s="2824" t="str">
        <f>C112</f>
        <v>总额（元）</v>
      </c>
      <c r="D115" s="52">
        <f>C40</f>
        <v>0</v>
      </c>
      <c r="E115" s="1461"/>
      <c r="F115" s="3353"/>
      <c r="G115" s="3354"/>
      <c r="H115" s="2822" t="s">
        <v>2791</v>
      </c>
      <c r="I115" s="52" t="str">
        <f>D119</f>
        <v>——</v>
      </c>
      <c r="J115" s="2849"/>
    </row>
    <row r="116" spans="1:27" ht="12.75">
      <c r="A116" s="3262" t="str">
        <f>IF(项目基本情况!F5="已注销","——","3.房地产抵押价值")</f>
        <v>3.房地产抵押价值</v>
      </c>
      <c r="B116" s="3263"/>
      <c r="C116" s="2822" t="str">
        <f>B103</f>
        <v>总价（元）</v>
      </c>
      <c r="D116" s="2823">
        <f>IF(A116="——","——",D110-D112)</f>
        <v>0</v>
      </c>
      <c r="E116" s="1461"/>
      <c r="F116" s="3254" t="str">
        <f>IF(项目基本情况!G5="抵押净值",IF(OR(项目基本情况!F5="已注销",项目基本情况!F5="房地产抵押价值"),"4.抵押净值","5.抵押净值"),"——")</f>
        <v>——</v>
      </c>
      <c r="G116" s="3255"/>
      <c r="H116" s="2822" t="str">
        <f>C120</f>
        <v>总价（元）</v>
      </c>
      <c r="I116" s="2823" t="str">
        <f>IF(F116="——","——",O61)</f>
        <v>——</v>
      </c>
      <c r="J116" s="2865"/>
    </row>
    <row r="117" spans="1:27" ht="13.5" thickBot="1">
      <c r="A117" s="3262"/>
      <c r="B117" s="3263"/>
      <c r="C117" s="2822" t="s">
        <v>2798</v>
      </c>
      <c r="D117" s="52" t="e">
        <f>ROUND(IF(D116=D110,D111,IF(H19="元",D116/B125,D116*10000/B125)),0)</f>
        <v>#DIV/0!</v>
      </c>
      <c r="E117" s="1461"/>
      <c r="F117" s="3256"/>
      <c r="G117" s="3257"/>
      <c r="H117" s="2827" t="s">
        <v>2791</v>
      </c>
      <c r="I117" s="2811" t="str">
        <f>D121</f>
        <v>——</v>
      </c>
      <c r="J117" s="2849"/>
    </row>
    <row r="118" spans="1:27" ht="15.75">
      <c r="A118" s="3262" t="str">
        <f>IF(项目基本情况!F5="已注销及未注销","4.抵押担保权已注销时的房地产抵押价值",IF(项目基本情况!F5="已注销","3.抵押担保权已注销时的房地产抵押价值","——"))</f>
        <v>——</v>
      </c>
      <c r="B118" s="3263"/>
      <c r="C118" s="2822" t="str">
        <f>B103</f>
        <v>总价（元）</v>
      </c>
      <c r="D118" s="2823" t="str">
        <f>IF(A118="——","——",D110-D114-D115)</f>
        <v>——</v>
      </c>
      <c r="E118" s="1461"/>
      <c r="F118" s="3348"/>
      <c r="G118" s="3348"/>
      <c r="H118" s="3312"/>
      <c r="I118" s="3312"/>
      <c r="J118" s="2869"/>
      <c r="O118" s="32"/>
      <c r="P118" s="32"/>
    </row>
    <row r="119" spans="1:27" s="1308" customFormat="1" ht="12.75">
      <c r="A119" s="3262"/>
      <c r="B119" s="3263"/>
      <c r="C119" s="2822" t="s">
        <v>2798</v>
      </c>
      <c r="D119" s="52" t="str">
        <f>IF(A118="——","——",IF(H19="元",ROUND(D118/B125,0),ROUND(D118*10000/B125,0)))</f>
        <v>——</v>
      </c>
      <c r="E119" s="1461"/>
      <c r="F119" s="3357" t="str">
        <f>IF(B33="总价","（以上估价结果中楼面单价为总价除以建筑面积得出）","（以上估价结果中总价为楼面单价乘以建筑面积得出）")</f>
        <v>（以上估价结果中总价为楼面单价乘以建筑面积得出）</v>
      </c>
      <c r="G119" s="3357"/>
      <c r="H119" s="3357"/>
      <c r="I119" s="3357"/>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2" t="str">
        <f>IF(项目基本情况!G5="抵押净值",IF(OR(项目基本情况!F5="已注销",项目基本情况!F5="房地产抵押价值"),"4.抵押净值","5.抵押净值"),"——")</f>
        <v>——</v>
      </c>
      <c r="B120" s="3263"/>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67"/>
      <c r="B121" s="3268"/>
      <c r="C121" s="2827" t="s">
        <v>2798</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3" t="s">
        <v>1919</v>
      </c>
      <c r="B122" s="3314"/>
      <c r="C122" s="3314"/>
      <c r="D122" s="3314"/>
      <c r="E122" s="3314"/>
      <c r="F122" s="3314"/>
      <c r="G122" s="3314"/>
      <c r="H122" s="3314"/>
      <c r="I122" s="3314"/>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47" t="s">
        <v>2802</v>
      </c>
      <c r="B123" s="3273" t="s">
        <v>2803</v>
      </c>
      <c r="C123" s="3273" t="s">
        <v>2809</v>
      </c>
      <c r="D123" s="3335" t="s">
        <v>2804</v>
      </c>
      <c r="E123" s="3336"/>
      <c r="F123" s="3248" t="s">
        <v>2810</v>
      </c>
      <c r="G123" s="3248"/>
      <c r="H123" s="3248" t="s">
        <v>2805</v>
      </c>
      <c r="I123" s="3334"/>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47"/>
      <c r="B124" s="3274"/>
      <c r="C124" s="3274"/>
      <c r="D124" s="2092" t="s">
        <v>2806</v>
      </c>
      <c r="E124" s="2092" t="s">
        <v>2811</v>
      </c>
      <c r="F124" s="2092" t="s">
        <v>2806</v>
      </c>
      <c r="G124" s="2092" t="s">
        <v>2807</v>
      </c>
      <c r="H124" s="2092" t="s">
        <v>2806</v>
      </c>
      <c r="I124" s="52" t="s">
        <v>2807</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47" t="s">
        <v>2808</v>
      </c>
      <c r="B126" s="3248"/>
      <c r="C126" s="3248"/>
      <c r="D126" s="3275" t="str">
        <f>IF(H19="元",NUMBERSTRING(INT(D125),2)&amp;"元整",NUMBERSTRING(INT(D125*10000),2)&amp;"元整")</f>
        <v>零元整</v>
      </c>
      <c r="E126" s="3318"/>
      <c r="F126" s="3275" t="str">
        <f>IF(H19="元",NUMBERSTRING(INT(F125),2)&amp;"元整",NUMBERSTRING(INT(F125*10000),2)&amp;"元整")</f>
        <v>零元整</v>
      </c>
      <c r="G126" s="3318"/>
      <c r="H126" s="3275" t="str">
        <f>IF(H19="元",NUMBERSTRING(INT(H125),2)&amp;"元整",NUMBERSTRING(INT(H125*10000),2)&amp;"元整")</f>
        <v>零元整</v>
      </c>
      <c r="I126" s="3276"/>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52" t="str">
        <f>IF(项目基本情况!D5="房地产市场价值","——",MID(A112,3,LEN(A112)-2))</f>
        <v>——</v>
      </c>
      <c r="B127" s="3258"/>
      <c r="C127" s="3253"/>
      <c r="D127" s="3250">
        <f>I107</f>
        <v>0</v>
      </c>
      <c r="E127" s="3258"/>
      <c r="F127" s="3258"/>
      <c r="G127" s="3258"/>
      <c r="H127" s="3258"/>
      <c r="I127" s="3251"/>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9" t="s">
        <v>2808</v>
      </c>
      <c r="B128" s="3287"/>
      <c r="C128" s="3288"/>
      <c r="D128" s="3259">
        <f>H111</f>
        <v>0</v>
      </c>
      <c r="E128" s="3260"/>
      <c r="F128" s="3260"/>
      <c r="G128" s="3260"/>
      <c r="H128" s="3260"/>
      <c r="I128" s="3261"/>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2" t="str">
        <f>IF(项目基本情况!D5="房地产市场价值","——",MID(A116,3,LEN(A116)-2))</f>
        <v>——</v>
      </c>
      <c r="B129" s="3263"/>
      <c r="C129" s="3263"/>
      <c r="D129" s="3250">
        <f>I112</f>
        <v>0</v>
      </c>
      <c r="E129" s="3258"/>
      <c r="F129" s="3258"/>
      <c r="G129" s="3258"/>
      <c r="H129" s="3258"/>
      <c r="I129" s="3251"/>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47" t="s">
        <v>2808</v>
      </c>
      <c r="B130" s="3248"/>
      <c r="C130" s="3248"/>
      <c r="D130" s="3259" t="e">
        <f>I113</f>
        <v>#DIV/0!</v>
      </c>
      <c r="E130" s="3260"/>
      <c r="F130" s="3260"/>
      <c r="G130" s="3260"/>
      <c r="H130" s="3260"/>
      <c r="I130" s="3261"/>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2" t="str">
        <f>IF(项目基本情况!D5="房地产市场价值","——",MID(A118,3,LEN(A118)-2))</f>
        <v>——</v>
      </c>
      <c r="B131" s="3263"/>
      <c r="C131" s="3263"/>
      <c r="D131" s="3295" t="str">
        <f>I114</f>
        <v>——</v>
      </c>
      <c r="E131" s="3296"/>
      <c r="F131" s="3296"/>
      <c r="G131" s="3296"/>
      <c r="H131" s="3296"/>
      <c r="I131" s="3347"/>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47" t="s">
        <v>2808</v>
      </c>
      <c r="B132" s="3248"/>
      <c r="C132" s="3249"/>
      <c r="D132" s="3311" t="str">
        <f>I115</f>
        <v>——</v>
      </c>
      <c r="E132" s="3311"/>
      <c r="F132" s="3311"/>
      <c r="G132" s="3311"/>
      <c r="H132" s="3311"/>
      <c r="I132" s="3311"/>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2" t="str">
        <f>IF(项目基本情况!D5="房地产市场价值","——",MID(F116,3,LEN(F116)-2))</f>
        <v>——</v>
      </c>
      <c r="B133" s="3263"/>
      <c r="C133" s="3250"/>
      <c r="D133" s="3266" t="str">
        <f>I116</f>
        <v>——</v>
      </c>
      <c r="E133" s="3266"/>
      <c r="F133" s="3266"/>
      <c r="G133" s="3266"/>
      <c r="H133" s="3266"/>
      <c r="I133" s="3266"/>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1" t="s">
        <v>2808</v>
      </c>
      <c r="B134" s="3272"/>
      <c r="C134" s="3272"/>
      <c r="D134" s="3277">
        <f>H118</f>
        <v>0</v>
      </c>
      <c r="E134" s="3278"/>
      <c r="F134" s="3278"/>
      <c r="G134" s="3278"/>
      <c r="H134" s="3278"/>
      <c r="I134" s="3279"/>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45" t="str">
        <f>IF(B33="总价","（以上估价结果中楼面单价为总价除以建筑面积得出）","（以上估价结果中总价为楼面单价乘以建筑面积得出）")</f>
        <v>（以上估价结果中总价为楼面单价乘以建筑面积得出）</v>
      </c>
      <c r="B136" s="3245"/>
      <c r="C136" s="3245"/>
      <c r="D136" s="3245"/>
      <c r="E136" s="3245"/>
      <c r="F136" s="3245"/>
      <c r="G136" s="3245"/>
      <c r="H136" s="3245"/>
      <c r="I136" s="3245"/>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2" zoomScale="80" zoomScaleNormal="80" zoomScaleSheetLayoutView="80" workbookViewId="0">
      <selection activeCell="C8" sqref="C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4463690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32807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2992790.06</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基准地价修正!C29*项目基本情况!C12</f>
        <v>2877805.06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87773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27212</v>
      </c>
      <c r="D8" s="1170"/>
      <c r="E8" s="115"/>
      <c r="F8" s="1169"/>
      <c r="G8" s="1518" t="s">
        <v>2908</v>
      </c>
    </row>
    <row r="9" spans="1:123" s="91" customFormat="1" ht="13.5" customHeight="1">
      <c r="A9" s="993" t="s">
        <v>945</v>
      </c>
      <c r="B9" s="97" t="s">
        <v>1936</v>
      </c>
      <c r="C9" s="1171">
        <f>ROUND(D9*E9,0)</f>
        <v>27212</v>
      </c>
      <c r="D9" s="1172">
        <f>IF('数据-取费表'!B10="住宅",IF(B1="仅计算典型户型",'数据-取费表'!E5,'数据-取费表'!B5),0)</f>
        <v>136.06</v>
      </c>
      <c r="E9" s="1171">
        <f>'数据-取费表'!E11</f>
        <v>200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160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136.06</v>
      </c>
      <c r="E19" s="111">
        <f>'数据-取费表'!E15</f>
        <v>0</v>
      </c>
      <c r="F19" s="112"/>
      <c r="G19" s="1518" t="s">
        <v>2907</v>
      </c>
    </row>
    <row r="20" spans="1:123" s="91" customFormat="1" ht="13.5" customHeight="1">
      <c r="A20" s="120" t="s">
        <v>1949</v>
      </c>
      <c r="B20" s="89" t="s">
        <v>1950</v>
      </c>
      <c r="C20" s="99">
        <f ca="1">ROUND((C5+C19)*F20,0)</f>
        <v>59856</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293911</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291068</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2843</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763162</v>
      </c>
      <c r="D27" s="101">
        <f>C29</f>
        <v>5.0000000000000001E-3</v>
      </c>
      <c r="E27" s="102" t="s">
        <v>1954</v>
      </c>
      <c r="F27" s="112">
        <f>'数据-取费表'!E28</f>
        <v>0.25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763162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4463690</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450956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370083</v>
      </c>
      <c r="D34" s="1167"/>
      <c r="E34" s="115"/>
      <c r="F34" s="1178" t="str">
        <f>IF('数据-取费表'!B26=0,"",'数据-取费表'!E20)</f>
        <v/>
      </c>
      <c r="G34" s="95"/>
    </row>
    <row r="35" spans="1:123" ht="13.5" customHeight="1">
      <c r="A35" s="92" t="s">
        <v>1932</v>
      </c>
      <c r="B35" s="93" t="s">
        <v>1981</v>
      </c>
      <c r="C35" s="115">
        <f>ROUND(C34*F35,0)</f>
        <v>11102</v>
      </c>
      <c r="D35" s="115"/>
      <c r="E35" s="115"/>
      <c r="F35" s="1179">
        <f>'数据-取费表'!E21</f>
        <v>0.03</v>
      </c>
      <c r="G35" s="95" t="s">
        <v>1982</v>
      </c>
    </row>
    <row r="36" spans="1:123" ht="24">
      <c r="A36" s="92" t="s">
        <v>1934</v>
      </c>
      <c r="B36" s="93" t="s">
        <v>1983</v>
      </c>
      <c r="C36" s="115">
        <f>ROUND(IF('数据-取费表'!B10="住宅",C34*F36,0),0)</f>
        <v>37008</v>
      </c>
      <c r="D36" s="115"/>
      <c r="E36" s="115"/>
      <c r="F36" s="1179">
        <f>'数据-取费表'!E22</f>
        <v>0.1</v>
      </c>
      <c r="G36" s="123" t="s">
        <v>1984</v>
      </c>
    </row>
    <row r="37" spans="1:123" s="122" customFormat="1" ht="13.5" customHeight="1">
      <c r="A37" s="92" t="s">
        <v>1965</v>
      </c>
      <c r="B37" s="93" t="s">
        <v>1985</v>
      </c>
      <c r="C37" s="115">
        <f>ROUND(E37*D37,0)</f>
        <v>27212</v>
      </c>
      <c r="D37" s="1167">
        <f>IF(B1="仅计算典型户型",'数据-取费表'!E5,'数据-取费表'!B5)</f>
        <v>136.06</v>
      </c>
      <c r="E37" s="115">
        <f>'数据-取费表'!E23</f>
        <v>200</v>
      </c>
      <c r="F37" s="1179"/>
      <c r="G37" s="124" t="s">
        <v>1986</v>
      </c>
    </row>
    <row r="38" spans="1:123" ht="13.5" customHeight="1">
      <c r="A38" s="92" t="s">
        <v>1987</v>
      </c>
      <c r="B38" s="93" t="s">
        <v>1988</v>
      </c>
      <c r="C38" s="115">
        <f>ROUND(C34*F38,0)</f>
        <v>5551</v>
      </c>
      <c r="D38" s="115"/>
      <c r="E38" s="115"/>
      <c r="F38" s="1179">
        <f>'数据-取费表'!E24</f>
        <v>1.4999999999999999E-2</v>
      </c>
      <c r="G38" s="95" t="s">
        <v>1982</v>
      </c>
    </row>
    <row r="39" spans="1:123" s="91" customFormat="1" ht="13.5" customHeight="1">
      <c r="A39" s="120" t="s">
        <v>1947</v>
      </c>
      <c r="B39" s="89" t="s">
        <v>1950</v>
      </c>
      <c r="C39" s="99">
        <f>ROUND(C33*F20,0)</f>
        <v>9019</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21848</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21420</v>
      </c>
      <c r="D42" s="104"/>
      <c r="E42" s="104"/>
      <c r="F42" s="105"/>
      <c r="G42" s="3384" t="s">
        <v>1992</v>
      </c>
    </row>
    <row r="43" spans="1:123" ht="13.5" customHeight="1">
      <c r="A43" s="92" t="s">
        <v>1932</v>
      </c>
      <c r="B43" s="93" t="s">
        <v>1961</v>
      </c>
      <c r="C43" s="104">
        <f ca="1">ROUND(IF('数据-取费表'!B24&lt;=1,C39*F22*'数据-取费表'!B23/2,C39*(POWER((1+F22),'数据-取费表'!B23/2)-1)),0)</f>
        <v>428</v>
      </c>
      <c r="D43" s="104"/>
      <c r="E43" s="104"/>
      <c r="F43" s="105"/>
      <c r="G43" s="3385"/>
    </row>
    <row r="44" spans="1:123" ht="13.5" customHeight="1">
      <c r="A44" s="92" t="s">
        <v>1934</v>
      </c>
      <c r="B44" s="93" t="s">
        <v>1963</v>
      </c>
      <c r="C44" s="104">
        <f ca="1">ROUND(IF('数据-取费表'!B24&lt;=1,C40*F22*'数据-取费表'!B23/2,C40*(POWER((1+F22),'数据-取费表'!B23/2)-1)),4)</f>
        <v>1E-3</v>
      </c>
      <c r="D44" s="104"/>
      <c r="E44" s="104"/>
      <c r="F44" s="105"/>
      <c r="G44" s="3386"/>
    </row>
    <row r="45" spans="1:123" s="91" customFormat="1" ht="13.5" customHeight="1">
      <c r="A45" s="120" t="s">
        <v>1956</v>
      </c>
      <c r="B45" s="110" t="s">
        <v>1968</v>
      </c>
      <c r="C45" s="111">
        <f>C46</f>
        <v>114994</v>
      </c>
      <c r="D45" s="101">
        <f>C47</f>
        <v>5.0000000000000001E-3</v>
      </c>
      <c r="E45" s="102" t="s">
        <v>1990</v>
      </c>
      <c r="F45" s="2892">
        <f>F27</f>
        <v>0.25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114994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648221</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f ca="1">ROUND(C49*F50,0)</f>
        <v>0</v>
      </c>
      <c r="D51" s="99"/>
      <c r="E51" s="99"/>
      <c r="F51" s="126"/>
      <c r="G51" s="100" t="s">
        <v>2006</v>
      </c>
    </row>
    <row r="52" spans="1:123" s="88" customFormat="1" ht="16.5" thickBot="1">
      <c r="A52" s="127" t="s">
        <v>2007</v>
      </c>
      <c r="B52" s="128"/>
      <c r="C52" s="129">
        <f ca="1">C31+C51</f>
        <v>4463690</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v>
      </c>
    </row>
    <row r="57" spans="1:123">
      <c r="B57" s="135" t="s">
        <v>2010</v>
      </c>
      <c r="C57" s="137">
        <f ca="1">1-C56</f>
        <v>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26973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0.1</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-27212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200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160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-27212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-544</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-6939</v>
      </c>
      <c r="D28" s="183">
        <f>C29</f>
        <v>0.25729999999999997</v>
      </c>
      <c r="E28" s="189" t="s">
        <v>12</v>
      </c>
      <c r="F28" s="200">
        <f>'数据-取费表'!E28</f>
        <v>0.25</v>
      </c>
      <c r="G28" s="185"/>
      <c r="H28" s="186"/>
      <c r="I28" s="186"/>
      <c r="J28" s="186"/>
      <c r="K28" s="187"/>
    </row>
    <row r="29" spans="1:33" s="204" customFormat="1" ht="13.5" customHeight="1">
      <c r="A29" s="996" t="s">
        <v>1341</v>
      </c>
      <c r="B29" s="202" t="s">
        <v>1342</v>
      </c>
      <c r="C29" s="193">
        <f>ROUND((1+C24)*F28,4)</f>
        <v>0.25729999999999997</v>
      </c>
      <c r="D29" s="193"/>
      <c r="E29" s="194"/>
      <c r="F29" s="203"/>
      <c r="G29" s="147" t="s">
        <v>1343</v>
      </c>
      <c r="H29" s="170"/>
      <c r="I29" s="170"/>
      <c r="J29" s="170"/>
      <c r="K29" s="171"/>
    </row>
    <row r="30" spans="1:33" s="204" customFormat="1" ht="13.5" customHeight="1">
      <c r="A30" s="996" t="s">
        <v>1344</v>
      </c>
      <c r="B30" s="202" t="s">
        <v>1345</v>
      </c>
      <c r="C30" s="205">
        <f>ROUND((C21+C22+C23)*F28,0)</f>
        <v>-6939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26973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3" sqref="D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2757</v>
      </c>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2304554</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16938</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92691</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92575</v>
      </c>
      <c r="D6" s="36" t="s">
        <v>2709</v>
      </c>
      <c r="E6" s="235" t="s">
        <v>2023</v>
      </c>
      <c r="F6" s="236">
        <f>'数据-取费表'!B30</f>
        <v>63</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136.06</v>
      </c>
      <c r="G7" s="951"/>
      <c r="H7" s="237"/>
      <c r="I7" s="238"/>
      <c r="J7" s="239"/>
      <c r="K7" s="240"/>
      <c r="L7" s="235" t="s">
        <v>2024</v>
      </c>
      <c r="M7" s="236">
        <f>IF('数据-取费表'!B42="",IF(D1="仅计算典型户型",'数据-取费表'!E5,'数据-取费表'!B5),'数据-取费表'!B42)</f>
        <v>136.06</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116</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0</v>
      </c>
      <c r="D13" s="1094" t="s">
        <v>2038</v>
      </c>
      <c r="E13" s="1094" t="s">
        <v>2039</v>
      </c>
      <c r="F13" s="1095">
        <f>'数据-取费表'!E20</f>
        <v>0</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370083</v>
      </c>
      <c r="D14" s="1328" t="s">
        <v>2042</v>
      </c>
      <c r="E14" s="1329"/>
      <c r="F14" s="799"/>
      <c r="G14" s="952"/>
      <c r="H14" s="253" t="s">
        <v>2021</v>
      </c>
      <c r="I14" s="235" t="s">
        <v>2043</v>
      </c>
      <c r="J14" s="13">
        <f ca="1">C29</f>
        <v>648221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11102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37008</v>
      </c>
      <c r="D16" s="235" t="s">
        <v>2046</v>
      </c>
      <c r="E16" s="235" t="s">
        <v>2047</v>
      </c>
      <c r="F16" s="258">
        <f>IF('数据-取费表'!B10="住宅",'数据-取费表'!E22,0)</f>
        <v>0.1</v>
      </c>
      <c r="G16" s="952"/>
      <c r="H16" s="1092" t="s">
        <v>14</v>
      </c>
      <c r="I16" s="1093" t="s">
        <v>2052</v>
      </c>
      <c r="J16" s="243">
        <f ca="1">ROUND(J17+J22+J23+J24,0)</f>
        <v>9723</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27212</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5551</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450956</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9019</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9723</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21848</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-9723</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114994</v>
      </c>
      <c r="D26" s="259" t="s">
        <v>2100</v>
      </c>
      <c r="E26" s="246" t="s">
        <v>2101</v>
      </c>
      <c r="F26" s="245">
        <f>'数据-取费表'!E28</f>
        <v>0.25</v>
      </c>
      <c r="G26" s="652"/>
      <c r="H26" s="232" t="s">
        <v>23</v>
      </c>
      <c r="I26" s="233" t="s">
        <v>2102</v>
      </c>
      <c r="J26" s="234">
        <f ca="1">IF(J5&lt;&gt;0,ROUND(J25*(1-((1+M28)/(1+M26))^M27)/(M26-M28),0),0)</f>
        <v>0</v>
      </c>
      <c r="K26" s="261" t="s">
        <v>2103</v>
      </c>
      <c r="L26" s="235" t="s">
        <v>2104</v>
      </c>
      <c r="M26" s="245">
        <f>'数据-取费表'!B16</f>
        <v>0.06</v>
      </c>
    </row>
    <row r="27" spans="1:37" ht="18" customHeight="1">
      <c r="A27" s="253" t="s">
        <v>2105</v>
      </c>
      <c r="B27" s="235" t="s">
        <v>2106</v>
      </c>
      <c r="C27" s="13">
        <f>ROUND(F21*F26,4)</f>
        <v>5.0000000000000001E-3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648221</v>
      </c>
      <c r="D29" s="1105"/>
      <c r="E29" s="1103"/>
      <c r="F29" s="1106"/>
      <c r="G29" s="652"/>
      <c r="H29" s="271" t="s">
        <v>24</v>
      </c>
      <c r="I29" s="272" t="s">
        <v>2116</v>
      </c>
      <c r="J29" s="273">
        <f ca="1">ROUND(J26/(1+F40)^F41,0)</f>
        <v>0</v>
      </c>
      <c r="K29" s="274" t="s">
        <v>2117</v>
      </c>
      <c r="L29" s="275"/>
      <c r="M29" s="276">
        <f>IF(D1="仅计算典型户型",'数据-取费表'!E5,'数据-取费表'!B5)</f>
        <v>136.06</v>
      </c>
    </row>
    <row r="30" spans="1:37" ht="18" customHeight="1" thickTop="1">
      <c r="A30" s="1092" t="s">
        <v>14</v>
      </c>
      <c r="B30" s="1093" t="s">
        <v>2118</v>
      </c>
      <c r="C30" s="243">
        <f ca="1">ROUND(C31+C36+C37+C38,0)</f>
        <v>12854</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2204</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0</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6.5000000000000002E-2</v>
      </c>
      <c r="K35" s="944"/>
      <c r="L35" s="943"/>
      <c r="M35" s="943"/>
    </row>
    <row r="36" spans="1:18" ht="18" customHeight="1">
      <c r="A36" s="1060" t="s">
        <v>2028</v>
      </c>
      <c r="B36" s="235" t="s">
        <v>2127</v>
      </c>
      <c r="C36" s="13">
        <f ca="1">ROUND(C29*F36,0)</f>
        <v>9723</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0</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927</v>
      </c>
      <c r="D38" s="1105" t="s">
        <v>2093</v>
      </c>
      <c r="E38" s="1103" t="s">
        <v>2089</v>
      </c>
      <c r="F38" s="1098">
        <f>'数据-取费表'!B47</f>
        <v>0.01</v>
      </c>
      <c r="G38" s="652"/>
      <c r="H38" s="943"/>
      <c r="I38" s="280" t="s">
        <v>2131</v>
      </c>
      <c r="J38" s="136">
        <f ca="1">ROUND(J34/C39,3)</f>
        <v>0</v>
      </c>
      <c r="K38" s="948"/>
      <c r="L38" s="943"/>
      <c r="M38" s="943"/>
    </row>
    <row r="39" spans="1:18" ht="18" customHeight="1" thickTop="1">
      <c r="A39" s="1092" t="s">
        <v>22</v>
      </c>
      <c r="B39" s="1107" t="s">
        <v>2132</v>
      </c>
      <c r="C39" s="243">
        <f ca="1">C5-C30</f>
        <v>79837</v>
      </c>
      <c r="D39" s="1108" t="s">
        <v>2133</v>
      </c>
      <c r="E39" s="1109"/>
      <c r="F39" s="1110"/>
      <c r="G39" s="652"/>
      <c r="H39" s="943"/>
      <c r="I39" s="280" t="s">
        <v>2134</v>
      </c>
      <c r="J39" s="136">
        <f ca="1">1-J38</f>
        <v>1</v>
      </c>
      <c r="K39" s="948"/>
      <c r="L39" s="943"/>
      <c r="M39" s="943"/>
    </row>
    <row r="40" spans="1:18" s="652" customFormat="1" ht="18" customHeight="1">
      <c r="A40" s="232" t="s">
        <v>23</v>
      </c>
      <c r="B40" s="233" t="s">
        <v>2135</v>
      </c>
      <c r="C40" s="234">
        <f ca="1">ROUND(C39*(1-((1+F42)/(1+F40))^F41)/(F40-F42),0)</f>
        <v>2304554</v>
      </c>
      <c r="D40" s="261" t="s">
        <v>2103</v>
      </c>
      <c r="E40" s="235" t="s">
        <v>2104</v>
      </c>
      <c r="F40" s="245">
        <f>'数据-取费表'!B16</f>
        <v>0.06</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70</v>
      </c>
      <c r="H41" s="950"/>
      <c r="I41" s="135" t="s">
        <v>2009</v>
      </c>
      <c r="J41" s="136">
        <f ca="1">ROUND(C13/C40,3)</f>
        <v>0</v>
      </c>
      <c r="K41" s="947"/>
      <c r="L41" s="950"/>
      <c r="M41" s="950"/>
      <c r="Q41" s="656"/>
    </row>
    <row r="42" spans="1:18" s="652" customFormat="1" ht="18" customHeight="1">
      <c r="A42" s="241"/>
      <c r="B42" s="242"/>
      <c r="C42" s="243"/>
      <c r="D42" s="264"/>
      <c r="E42" s="235" t="s">
        <v>2113</v>
      </c>
      <c r="F42" s="245">
        <f>'数据-取费表'!B32</f>
        <v>0.03</v>
      </c>
      <c r="H42" s="950"/>
      <c r="I42" s="135" t="s">
        <v>2010</v>
      </c>
      <c r="J42" s="137">
        <f ca="1">1-J41</f>
        <v>1</v>
      </c>
      <c r="K42" s="947"/>
      <c r="L42" s="950"/>
      <c r="M42" s="950"/>
      <c r="Q42" s="656"/>
    </row>
    <row r="43" spans="1:18" s="652" customFormat="1" ht="18" customHeight="1" thickBot="1">
      <c r="A43" s="271" t="s">
        <v>24</v>
      </c>
      <c r="B43" s="272" t="s">
        <v>2138</v>
      </c>
      <c r="C43" s="273">
        <f ca="1">ROUND(C40/F43,0)</f>
        <v>16938</v>
      </c>
      <c r="D43" s="274" t="s">
        <v>2139</v>
      </c>
      <c r="E43" s="275" t="s">
        <v>2140</v>
      </c>
      <c r="F43" s="276">
        <f>IF(D1="仅计算典型户型",'数据-取费表'!E5,'数据-取费表'!B5)</f>
        <v>136.06</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2304554</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-2463861</v>
      </c>
      <c r="D47" s="1528" t="str">
        <f>C2</f>
        <v>元</v>
      </c>
      <c r="E47" s="649"/>
      <c r="F47" s="649"/>
      <c r="I47" s="1529" t="s">
        <v>2151</v>
      </c>
      <c r="J47" s="1023"/>
      <c r="K47" s="1024"/>
      <c r="L47" s="1037">
        <f>IF(M48="住宅",0,IF(L49&gt;J52,L61,J61))</f>
        <v>0</v>
      </c>
      <c r="O47" s="1051" t="s">
        <v>951</v>
      </c>
      <c r="P47" s="1048" t="s">
        <v>2152</v>
      </c>
      <c r="Q47" s="1049">
        <f ca="1">C29</f>
        <v>648221</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70</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0</v>
      </c>
      <c r="K50" s="1537" t="s">
        <v>2168</v>
      </c>
      <c r="L50" s="1026"/>
      <c r="O50" s="1051" t="s">
        <v>954</v>
      </c>
      <c r="P50" s="1048" t="s">
        <v>2169</v>
      </c>
      <c r="Q50" s="1049">
        <f>J54</f>
        <v>70</v>
      </c>
      <c r="R50" s="1050" t="s">
        <v>2170</v>
      </c>
    </row>
    <row r="51" spans="1:18" s="652" customFormat="1" ht="15.75" thickBot="1">
      <c r="A51" s="237"/>
      <c r="B51" s="238"/>
      <c r="C51" s="239"/>
      <c r="D51" s="240"/>
      <c r="E51" s="255" t="s">
        <v>2024</v>
      </c>
      <c r="F51" s="985">
        <f>F7</f>
        <v>136.06</v>
      </c>
      <c r="I51" s="1533" t="s">
        <v>2171</v>
      </c>
      <c r="J51" s="1027">
        <f>SUMPRODUCT((I64:I66=J48)*(J63:L63=J49)*(J64:L66))</f>
        <v>0</v>
      </c>
      <c r="K51" s="1537" t="s">
        <v>2172</v>
      </c>
      <c r="L51" s="1026"/>
      <c r="O51" s="1047" t="s">
        <v>955</v>
      </c>
      <c r="P51" s="1048" t="str">
        <f>IF(C2="元","收益价值(元)","收益价值(万元)")</f>
        <v>收益价值(元)</v>
      </c>
      <c r="Q51" s="1049">
        <f ca="1">ROUND(IF(C2="元",Q45+Q46,(Q45+Q46)/10000),0)</f>
        <v>2304554</v>
      </c>
      <c r="R51" s="1050" t="s">
        <v>956</v>
      </c>
    </row>
    <row r="52" spans="1:18" s="652" customFormat="1" ht="16.5" thickBot="1">
      <c r="A52" s="237"/>
      <c r="B52" s="238"/>
      <c r="C52" s="239"/>
      <c r="D52" s="240"/>
      <c r="E52" s="235" t="s">
        <v>2026</v>
      </c>
      <c r="F52" s="236">
        <f>F8</f>
        <v>12</v>
      </c>
      <c r="I52" s="1538" t="s">
        <v>2173</v>
      </c>
      <c r="J52" s="1028">
        <f>IF(J50="",J51,J50+J51-YEAR('数据-取费表'!B2))</f>
        <v>-2020</v>
      </c>
      <c r="K52" s="1539" t="s">
        <v>2174</v>
      </c>
      <c r="L52" s="1029">
        <f ca="1">ROUND(-PV('数据-取费表'!B15,J52,(C40-C13*J35)),0)</f>
        <v>-2.9241591503406099E+50</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70</v>
      </c>
      <c r="K54" s="3387" t="s">
        <v>2708</v>
      </c>
      <c r="L54" s="3388"/>
      <c r="O54" s="1047" t="s">
        <v>949</v>
      </c>
      <c r="P54" s="1048" t="s">
        <v>2146</v>
      </c>
      <c r="Q54" s="1049">
        <f ca="1">C40+J29</f>
        <v>2304554</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0</v>
      </c>
      <c r="D57" s="983"/>
      <c r="E57" s="984"/>
      <c r="F57" s="991"/>
      <c r="I57" s="1547" t="s">
        <v>2183</v>
      </c>
      <c r="J57" s="1035"/>
      <c r="K57" s="1533" t="s">
        <v>2184</v>
      </c>
      <c r="L57" s="863">
        <f>IF(L49&lt;J52,"——",L49-J52)</f>
        <v>2090</v>
      </c>
      <c r="O57" s="1051" t="s">
        <v>952</v>
      </c>
      <c r="P57" s="1048" t="s">
        <v>2185</v>
      </c>
      <c r="Q57" s="1052">
        <f>L53</f>
        <v>0</v>
      </c>
      <c r="R57" s="1050"/>
    </row>
    <row r="58" spans="1:18" s="652" customFormat="1" ht="29.25" thickBot="1">
      <c r="A58" s="990"/>
      <c r="B58" s="235" t="s">
        <v>2115</v>
      </c>
      <c r="C58" s="104">
        <f ca="1">C29</f>
        <v>648221</v>
      </c>
      <c r="D58" s="983"/>
      <c r="E58" s="984"/>
      <c r="F58" s="991"/>
      <c r="I58" s="1548" t="s">
        <v>2186</v>
      </c>
      <c r="J58" s="1034" t="str">
        <f>IF(OR(M48="住宅",J52&lt;L49,J57="是"),"——",J52-L49)</f>
        <v>——</v>
      </c>
      <c r="K58" s="1533" t="s">
        <v>2187</v>
      </c>
      <c r="L58" s="863">
        <f ca="1">IF(L49&lt;J52,"——",IF(L56="比较法",L50,IF(L56="基准地价",L51,L52)))</f>
        <v>-2.9241591503406099E+50</v>
      </c>
      <c r="O58" s="1051" t="s">
        <v>953</v>
      </c>
      <c r="P58" s="1048" t="s">
        <v>2188</v>
      </c>
      <c r="Q58" s="1049" t="e">
        <f>L59</f>
        <v>#DIV/0!</v>
      </c>
      <c r="R58" s="1050" t="s">
        <v>2189</v>
      </c>
    </row>
    <row r="59" spans="1:18" s="652" customFormat="1" ht="29.25" thickBot="1">
      <c r="A59" s="248" t="s">
        <v>14</v>
      </c>
      <c r="B59" s="249" t="s">
        <v>2118</v>
      </c>
      <c r="C59" s="250">
        <f ca="1">ROUND(C60+C65+C66+C67,0)</f>
        <v>9723</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2304554</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2304554</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9723</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-2.9241591503406099E+50</v>
      </c>
      <c r="R65" s="1054" t="s">
        <v>2209</v>
      </c>
    </row>
    <row r="66" spans="1:18" s="652" customFormat="1" ht="20.25" thickBot="1">
      <c r="A66" s="253" t="s">
        <v>20</v>
      </c>
      <c r="B66" s="235" t="s">
        <v>2087</v>
      </c>
      <c r="C66" s="13">
        <f ca="1">ROUND(C57*F66,0)</f>
        <v>0</v>
      </c>
      <c r="D66" s="1331" t="s">
        <v>2088</v>
      </c>
      <c r="E66" s="235" t="s">
        <v>2089</v>
      </c>
      <c r="F66" s="266">
        <f t="shared" si="0"/>
        <v>1.5E-3</v>
      </c>
      <c r="I66" s="1551" t="s">
        <v>2210</v>
      </c>
      <c r="J66" s="1323">
        <v>40</v>
      </c>
      <c r="K66" s="1323">
        <v>30</v>
      </c>
      <c r="L66" s="1323">
        <v>50</v>
      </c>
      <c r="M66" s="1321">
        <v>0.02</v>
      </c>
      <c r="O66" s="1051" t="s">
        <v>952</v>
      </c>
      <c r="P66" s="1055" t="s">
        <v>2211</v>
      </c>
      <c r="Q66" s="1049">
        <f ca="1">ROUND(Q67-Q68*Q69,0)</f>
        <v>79837</v>
      </c>
      <c r="R66" s="1050"/>
    </row>
    <row r="67" spans="1:18" s="652" customFormat="1" ht="15.75" thickBot="1">
      <c r="A67" s="253" t="s">
        <v>21</v>
      </c>
      <c r="B67" s="235" t="s">
        <v>2070</v>
      </c>
      <c r="C67" s="13">
        <f ca="1">ROUND(C49*F67,0)</f>
        <v>0</v>
      </c>
      <c r="D67" s="1331" t="s">
        <v>2093</v>
      </c>
      <c r="E67" s="235" t="s">
        <v>2089</v>
      </c>
      <c r="F67" s="245">
        <f t="shared" si="0"/>
        <v>0.01</v>
      </c>
      <c r="O67" s="1051" t="s">
        <v>957</v>
      </c>
      <c r="P67" s="1055" t="s">
        <v>2212</v>
      </c>
      <c r="Q67" s="1049">
        <f ca="1">C39</f>
        <v>79837</v>
      </c>
      <c r="R67" s="1050" t="s">
        <v>2147</v>
      </c>
    </row>
    <row r="68" spans="1:18" ht="15.75" thickBot="1">
      <c r="A68" s="248" t="s">
        <v>22</v>
      </c>
      <c r="B68" s="41" t="s">
        <v>2097</v>
      </c>
      <c r="C68" s="250">
        <f ca="1">C49-C59</f>
        <v>-9723</v>
      </c>
      <c r="D68" s="1328" t="s">
        <v>2098</v>
      </c>
      <c r="E68" s="1330"/>
      <c r="F68" s="268"/>
      <c r="H68" s="652"/>
      <c r="I68" s="652"/>
      <c r="J68" s="652"/>
      <c r="K68" s="652"/>
      <c r="L68" s="652"/>
      <c r="M68" s="652"/>
      <c r="O68" s="1051" t="s">
        <v>958</v>
      </c>
      <c r="P68" s="1055" t="s">
        <v>2213</v>
      </c>
      <c r="Q68" s="1049">
        <f ca="1">C13</f>
        <v>0</v>
      </c>
      <c r="R68" s="1050" t="s">
        <v>2147</v>
      </c>
    </row>
    <row r="69" spans="1:18" ht="15.75" thickBot="1">
      <c r="A69" s="232" t="s">
        <v>23</v>
      </c>
      <c r="B69" s="233" t="s">
        <v>2135</v>
      </c>
      <c r="C69" s="234">
        <f ca="1">ROUND(C68*(1-((1+F71)/(1+F69))^F70)/(F69-F71),0)</f>
        <v>-159307</v>
      </c>
      <c r="D69" s="261" t="s">
        <v>2103</v>
      </c>
      <c r="E69" s="235" t="s">
        <v>2104</v>
      </c>
      <c r="F69" s="245">
        <f>F40</f>
        <v>0.06</v>
      </c>
      <c r="H69" s="652"/>
      <c r="I69" s="652"/>
      <c r="J69" s="652"/>
      <c r="K69" s="652"/>
      <c r="L69" s="652"/>
      <c r="M69" s="652"/>
      <c r="O69" s="1051" t="s">
        <v>959</v>
      </c>
      <c r="P69" s="1055" t="s">
        <v>2214</v>
      </c>
      <c r="Q69" s="1052">
        <f>J35</f>
        <v>6.5000000000000002E-2</v>
      </c>
      <c r="R69" s="1050"/>
    </row>
    <row r="70" spans="1:18" ht="15.75" thickBot="1">
      <c r="A70" s="237"/>
      <c r="B70" s="238"/>
      <c r="C70" s="239"/>
      <c r="D70" s="269" t="s">
        <v>2137</v>
      </c>
      <c r="E70" s="235" t="s">
        <v>2109</v>
      </c>
      <c r="F70" s="270">
        <f>F41</f>
        <v>70</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-1171</v>
      </c>
      <c r="D72" s="274" t="s">
        <v>2139</v>
      </c>
      <c r="E72" s="275" t="s">
        <v>2140</v>
      </c>
      <c r="F72" s="276">
        <f>F43</f>
        <v>136.06</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2304554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F10" sqref="F1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5" t="s">
        <v>1013</v>
      </c>
      <c r="B1" s="3406"/>
      <c r="C1" s="3407"/>
      <c r="D1" s="3408">
        <f>SUM(I10,I15,I20,I21,I23)</f>
        <v>0</v>
      </c>
      <c r="E1" s="3408"/>
      <c r="F1" s="3408"/>
      <c r="G1" s="3408"/>
      <c r="H1" s="3408"/>
      <c r="I1" s="3409"/>
    </row>
    <row r="2" spans="1:9">
      <c r="A2" s="3395" t="s">
        <v>1014</v>
      </c>
      <c r="B2" s="3396" t="s">
        <v>963</v>
      </c>
      <c r="C2" s="3396"/>
      <c r="D2" s="1062" t="s">
        <v>964</v>
      </c>
      <c r="E2" s="1062" t="s">
        <v>965</v>
      </c>
      <c r="F2" s="1062" t="s">
        <v>966</v>
      </c>
      <c r="G2" s="1062" t="s">
        <v>967</v>
      </c>
      <c r="H2" s="1062" t="s">
        <v>968</v>
      </c>
      <c r="I2" s="1063" t="s">
        <v>969</v>
      </c>
    </row>
    <row r="3" spans="1:9">
      <c r="A3" s="3395"/>
      <c r="B3" s="3396" t="s">
        <v>970</v>
      </c>
      <c r="C3" s="3396"/>
      <c r="D3" s="1064"/>
      <c r="E3" s="1062"/>
      <c r="F3" s="1065"/>
      <c r="G3" s="1065"/>
      <c r="H3" s="1066"/>
      <c r="I3" s="1067">
        <f>ROUND(D3*E3*F3*G3*H3/10000,0)</f>
        <v>0</v>
      </c>
    </row>
    <row r="4" spans="1:9">
      <c r="A4" s="3395"/>
      <c r="B4" s="3396" t="s">
        <v>971</v>
      </c>
      <c r="C4" s="3396"/>
      <c r="D4" s="1064"/>
      <c r="E4" s="1062"/>
      <c r="F4" s="1065"/>
      <c r="G4" s="1065"/>
      <c r="H4" s="1066"/>
      <c r="I4" s="1067">
        <f t="shared" ref="I4:I9" si="0">ROUND(D4*E4*F4*G4*H4/10000,0)</f>
        <v>0</v>
      </c>
    </row>
    <row r="5" spans="1:9">
      <c r="A5" s="3395"/>
      <c r="B5" s="3396" t="s">
        <v>972</v>
      </c>
      <c r="C5" s="3396"/>
      <c r="D5" s="1064"/>
      <c r="E5" s="1062"/>
      <c r="F5" s="1065"/>
      <c r="G5" s="1065"/>
      <c r="H5" s="1066"/>
      <c r="I5" s="1067">
        <f t="shared" si="0"/>
        <v>0</v>
      </c>
    </row>
    <row r="6" spans="1:9">
      <c r="A6" s="3395"/>
      <c r="B6" s="3396" t="s">
        <v>973</v>
      </c>
      <c r="C6" s="3396"/>
      <c r="D6" s="1064"/>
      <c r="E6" s="1062"/>
      <c r="F6" s="1065"/>
      <c r="G6" s="1065"/>
      <c r="H6" s="1066"/>
      <c r="I6" s="1067">
        <f t="shared" si="0"/>
        <v>0</v>
      </c>
    </row>
    <row r="7" spans="1:9">
      <c r="A7" s="3395"/>
      <c r="B7" s="3396" t="s">
        <v>974</v>
      </c>
      <c r="C7" s="3396"/>
      <c r="D7" s="1064"/>
      <c r="E7" s="1062"/>
      <c r="F7" s="1065"/>
      <c r="G7" s="1065"/>
      <c r="H7" s="1066"/>
      <c r="I7" s="1067">
        <f t="shared" si="0"/>
        <v>0</v>
      </c>
    </row>
    <row r="8" spans="1:9">
      <c r="A8" s="3395"/>
      <c r="B8" s="3396" t="s">
        <v>975</v>
      </c>
      <c r="C8" s="3396"/>
      <c r="D8" s="1064"/>
      <c r="E8" s="1062"/>
      <c r="F8" s="1065"/>
      <c r="G8" s="1065"/>
      <c r="H8" s="1066"/>
      <c r="I8" s="1067">
        <f t="shared" si="0"/>
        <v>0</v>
      </c>
    </row>
    <row r="9" spans="1:9">
      <c r="A9" s="3395"/>
      <c r="B9" s="3396" t="s">
        <v>976</v>
      </c>
      <c r="C9" s="3396"/>
      <c r="D9" s="1064"/>
      <c r="E9" s="1062"/>
      <c r="F9" s="1065"/>
      <c r="G9" s="1065"/>
      <c r="H9" s="1066"/>
      <c r="I9" s="1067">
        <f t="shared" si="0"/>
        <v>0</v>
      </c>
    </row>
    <row r="10" spans="1:9">
      <c r="A10" s="3395"/>
      <c r="B10" s="3397" t="s">
        <v>977</v>
      </c>
      <c r="C10" s="3397"/>
      <c r="D10" s="1068">
        <v>527</v>
      </c>
      <c r="E10" s="1068" t="e">
        <f>ROUND(D1*10000/D10/H9,0)</f>
        <v>#DIV/0!</v>
      </c>
      <c r="F10" s="1069"/>
      <c r="G10" s="1069"/>
      <c r="H10" s="1070"/>
      <c r="I10" s="1071">
        <f>SUM(I3:I9)</f>
        <v>0</v>
      </c>
    </row>
    <row r="11" spans="1:9" ht="14.25">
      <c r="A11" s="3395" t="s">
        <v>1015</v>
      </c>
      <c r="B11" s="3396" t="s">
        <v>978</v>
      </c>
      <c r="C11" s="3396"/>
      <c r="D11" s="1064" t="s">
        <v>979</v>
      </c>
      <c r="E11" s="1064" t="s">
        <v>980</v>
      </c>
      <c r="F11" s="1065" t="s">
        <v>981</v>
      </c>
      <c r="G11" s="1065" t="s">
        <v>968</v>
      </c>
      <c r="H11" s="1072" t="s">
        <v>982</v>
      </c>
      <c r="I11" s="1063" t="s">
        <v>969</v>
      </c>
    </row>
    <row r="12" spans="1:9">
      <c r="A12" s="3395"/>
      <c r="B12" s="3396" t="s">
        <v>983</v>
      </c>
      <c r="C12" s="3396"/>
      <c r="D12" s="1064"/>
      <c r="E12" s="1064"/>
      <c r="F12" s="1065"/>
      <c r="G12" s="1066"/>
      <c r="H12" s="1073"/>
      <c r="I12" s="1063">
        <f>ROUND(D12*E12*F12*G12/10000,0)</f>
        <v>0</v>
      </c>
    </row>
    <row r="13" spans="1:9">
      <c r="A13" s="3395"/>
      <c r="B13" s="3396" t="s">
        <v>984</v>
      </c>
      <c r="C13" s="3396"/>
      <c r="D13" s="1064"/>
      <c r="E13" s="1064"/>
      <c r="F13" s="1065"/>
      <c r="G13" s="1066"/>
      <c r="H13" s="1073"/>
      <c r="I13" s="1063">
        <f>ROUND(D13*E13*F13*G13/10000,0)</f>
        <v>0</v>
      </c>
    </row>
    <row r="14" spans="1:9">
      <c r="A14" s="3395"/>
      <c r="B14" s="3396" t="s">
        <v>985</v>
      </c>
      <c r="C14" s="3396"/>
      <c r="D14" s="1064"/>
      <c r="E14" s="1064"/>
      <c r="F14" s="1065"/>
      <c r="G14" s="1066"/>
      <c r="H14" s="1073"/>
      <c r="I14" s="1063">
        <f>ROUND(D14*E14*F14*G14/10000,0)</f>
        <v>0</v>
      </c>
    </row>
    <row r="15" spans="1:9">
      <c r="A15" s="3395"/>
      <c r="B15" s="3397" t="s">
        <v>977</v>
      </c>
      <c r="C15" s="3397"/>
      <c r="D15" s="1068"/>
      <c r="E15" s="1068">
        <f>SUM(E12:E14)</f>
        <v>0</v>
      </c>
      <c r="F15" s="1069"/>
      <c r="G15" s="1066"/>
      <c r="H15" s="1073"/>
      <c r="I15" s="1074">
        <f>SUM(I12:I14)</f>
        <v>0</v>
      </c>
    </row>
    <row r="16" spans="1:9" ht="24">
      <c r="A16" s="3395" t="s">
        <v>1016</v>
      </c>
      <c r="B16" s="3396" t="s">
        <v>986</v>
      </c>
      <c r="C16" s="3396"/>
      <c r="D16" s="1064" t="s">
        <v>964</v>
      </c>
      <c r="E16" s="1075" t="s">
        <v>987</v>
      </c>
      <c r="F16" s="1065" t="s">
        <v>988</v>
      </c>
      <c r="G16" s="1066" t="s">
        <v>968</v>
      </c>
      <c r="H16" s="1072" t="s">
        <v>982</v>
      </c>
      <c r="I16" s="1063" t="s">
        <v>969</v>
      </c>
    </row>
    <row r="17" spans="1:9" ht="14.25">
      <c r="A17" s="3395"/>
      <c r="B17" s="3396" t="s">
        <v>989</v>
      </c>
      <c r="C17" s="3396"/>
      <c r="D17" s="1064"/>
      <c r="E17" s="1064"/>
      <c r="F17" s="1065"/>
      <c r="G17" s="1066"/>
      <c r="H17" s="1076"/>
      <c r="I17" s="1077">
        <f>ROUND(D17*E17*F17*G17/10000,0)</f>
        <v>0</v>
      </c>
    </row>
    <row r="18" spans="1:9" ht="14.25">
      <c r="A18" s="3395"/>
      <c r="B18" s="3396" t="s">
        <v>990</v>
      </c>
      <c r="C18" s="3396"/>
      <c r="D18" s="1064"/>
      <c r="E18" s="1064"/>
      <c r="F18" s="1065"/>
      <c r="G18" s="1066"/>
      <c r="H18" s="1076"/>
      <c r="I18" s="1077">
        <f>ROUND(D18*E18*F18*G18/10000,0)</f>
        <v>0</v>
      </c>
    </row>
    <row r="19" spans="1:9" ht="14.25">
      <c r="A19" s="3395"/>
      <c r="B19" s="3396" t="s">
        <v>991</v>
      </c>
      <c r="C19" s="3396"/>
      <c r="D19" s="1064"/>
      <c r="E19" s="1064"/>
      <c r="F19" s="1065"/>
      <c r="G19" s="1066"/>
      <c r="H19" s="1076"/>
      <c r="I19" s="1077">
        <f>ROUND(D19*E19*F19*G19/10000,0)</f>
        <v>0</v>
      </c>
    </row>
    <row r="20" spans="1:9">
      <c r="A20" s="3395"/>
      <c r="B20" s="3397" t="s">
        <v>977</v>
      </c>
      <c r="C20" s="3397"/>
      <c r="D20" s="1068">
        <f>SUM(D17:D19)</f>
        <v>0</v>
      </c>
      <c r="E20" s="1068"/>
      <c r="F20" s="1069"/>
      <c r="G20" s="1066"/>
      <c r="H20" s="1073"/>
      <c r="I20" s="1074">
        <f>SUM(I17:I19)</f>
        <v>0</v>
      </c>
    </row>
    <row r="21" spans="1:9">
      <c r="A21" s="3395" t="s">
        <v>1017</v>
      </c>
      <c r="B21" s="3398"/>
      <c r="C21" s="3398"/>
      <c r="D21" s="3398"/>
      <c r="E21" s="3398"/>
      <c r="F21" s="3398"/>
      <c r="G21" s="3398"/>
      <c r="H21" s="1078">
        <v>0.1</v>
      </c>
      <c r="I21" s="1071">
        <f>ROUND(I10*H21,0)</f>
        <v>0</v>
      </c>
    </row>
    <row r="22" spans="1:9" ht="14.25">
      <c r="A22" s="3399" t="s">
        <v>1018</v>
      </c>
      <c r="B22" s="3400"/>
      <c r="C22" s="3401"/>
      <c r="D22" s="1079" t="s">
        <v>992</v>
      </c>
      <c r="E22" s="1079" t="s">
        <v>993</v>
      </c>
      <c r="F22" s="1080" t="s">
        <v>968</v>
      </c>
      <c r="G22" s="1080" t="s">
        <v>994</v>
      </c>
      <c r="H22" s="1072" t="s">
        <v>982</v>
      </c>
      <c r="I22" s="1063" t="s">
        <v>969</v>
      </c>
    </row>
    <row r="23" spans="1:9" ht="14.25" thickBot="1">
      <c r="A23" s="3402"/>
      <c r="B23" s="3403"/>
      <c r="C23" s="3404"/>
      <c r="D23" s="1081"/>
      <c r="E23" s="1081"/>
      <c r="F23" s="1081"/>
      <c r="G23" s="1082"/>
      <c r="H23" s="1083"/>
      <c r="I23" s="1084">
        <f>ROUND(E23*D23*F23*(1-G23)/10000,0)</f>
        <v>0</v>
      </c>
    </row>
    <row r="26" spans="1:9">
      <c r="A26" s="1085" t="s">
        <v>995</v>
      </c>
      <c r="B26" s="1085"/>
      <c r="C26" s="1085"/>
      <c r="D26" s="1085"/>
      <c r="E26" s="3392">
        <f>C27-C30-C31-C32</f>
        <v>0</v>
      </c>
      <c r="F26" s="3392"/>
      <c r="G26" s="3392"/>
      <c r="H26" s="1304" t="s">
        <v>1206</v>
      </c>
    </row>
    <row r="27" spans="1:9">
      <c r="A27" s="1086">
        <v>1</v>
      </c>
      <c r="B27" s="1087" t="s">
        <v>996</v>
      </c>
      <c r="C27" s="1087">
        <f>C28+C29</f>
        <v>0</v>
      </c>
      <c r="D27" s="1087"/>
      <c r="E27" s="3393"/>
      <c r="F27" s="3393"/>
      <c r="G27" s="3393"/>
    </row>
    <row r="28" spans="1:9">
      <c r="A28" s="1088" t="s">
        <v>997</v>
      </c>
      <c r="B28" s="1087" t="s">
        <v>998</v>
      </c>
      <c r="C28" s="1087"/>
      <c r="D28" s="1087"/>
      <c r="E28" s="3393"/>
      <c r="F28" s="3393"/>
      <c r="G28" s="339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4"/>
      <c r="F32" s="3394"/>
      <c r="G32" s="3394"/>
    </row>
    <row r="33" spans="1:7" hidden="1">
      <c r="A33" s="3389" t="s">
        <v>1007</v>
      </c>
      <c r="B33" s="3390"/>
      <c r="C33" s="3390"/>
      <c r="D33" s="3391"/>
      <c r="E33" s="3392"/>
      <c r="F33" s="3392"/>
      <c r="G33" s="3392"/>
    </row>
    <row r="34" spans="1:7" hidden="1">
      <c r="A34" s="1090">
        <v>1</v>
      </c>
      <c r="B34" s="1087" t="s">
        <v>1008</v>
      </c>
      <c r="C34" s="1087"/>
      <c r="D34" s="1087"/>
      <c r="E34" s="3393"/>
      <c r="F34" s="3393"/>
      <c r="G34" s="3393"/>
    </row>
    <row r="35" spans="1:7" hidden="1">
      <c r="A35" s="1090">
        <v>2</v>
      </c>
      <c r="B35" s="1087" t="s">
        <v>1009</v>
      </c>
      <c r="C35" s="1087"/>
      <c r="D35" s="1087"/>
      <c r="E35" s="3393"/>
      <c r="F35" s="3393"/>
      <c r="G35" s="3393"/>
    </row>
    <row r="36" spans="1:7" hidden="1">
      <c r="A36" s="1090">
        <v>3</v>
      </c>
      <c r="B36" s="1087" t="s">
        <v>1010</v>
      </c>
      <c r="C36" s="1087"/>
      <c r="D36" s="1087"/>
      <c r="E36" s="3393"/>
      <c r="F36" s="3393"/>
      <c r="G36" s="3393"/>
    </row>
    <row r="37" spans="1:7" hidden="1">
      <c r="A37" s="1090">
        <v>4</v>
      </c>
      <c r="B37" s="1087" t="s">
        <v>1011</v>
      </c>
      <c r="C37" s="1087"/>
      <c r="D37" s="1087"/>
      <c r="E37" s="3393"/>
      <c r="F37" s="3393"/>
      <c r="G37" s="3393"/>
    </row>
    <row r="38" spans="1:7" hidden="1">
      <c r="A38" s="3389" t="s">
        <v>1012</v>
      </c>
      <c r="B38" s="3390"/>
      <c r="C38" s="3390"/>
      <c r="D38" s="3391"/>
      <c r="E38" s="3392"/>
      <c r="F38" s="3392"/>
      <c r="G38" s="339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10" sqref="F10"/>
      <selection pane="bottomLeft" activeCell="F10" sqref="F1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3" t="s">
        <v>2220</v>
      </c>
      <c r="D4" s="3414"/>
      <c r="E4" s="3414"/>
      <c r="F4" s="3414"/>
      <c r="G4" s="3414"/>
      <c r="H4" s="3414"/>
      <c r="I4" s="3414"/>
      <c r="J4" s="3414"/>
      <c r="K4" s="3414"/>
      <c r="L4" s="3414"/>
      <c r="M4" s="3414"/>
      <c r="N4" s="3414"/>
      <c r="O4" s="3414"/>
      <c r="P4" s="3414"/>
      <c r="Q4" s="3414"/>
      <c r="R4" s="3414"/>
      <c r="S4" s="3415"/>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10" t="s">
        <v>45</v>
      </c>
      <c r="D25" s="3411"/>
      <c r="E25" s="3411"/>
      <c r="F25" s="3411"/>
      <c r="G25" s="3411"/>
      <c r="H25" s="3411"/>
      <c r="I25" s="3411"/>
      <c r="J25" s="3411"/>
      <c r="K25" s="3411"/>
      <c r="L25" s="3411"/>
      <c r="M25" s="3411"/>
      <c r="N25" s="3411"/>
      <c r="O25" s="3411"/>
      <c r="P25" s="3411"/>
      <c r="Q25" s="3412"/>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1" zoomScale="85" zoomScaleNormal="70" zoomScaleSheetLayoutView="85" workbookViewId="0">
      <selection activeCell="C6" sqref="C6:D6"/>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4761148</v>
      </c>
      <c r="C2" s="1651" t="str">
        <f>'数据-取费表'!B3</f>
        <v>元</v>
      </c>
      <c r="D2" s="1652" t="s">
        <v>1240</v>
      </c>
      <c r="E2" s="1653" t="e">
        <f ca="1">SUMIF(INDIRECT("'"&amp;G2&amp;"'"&amp;"!A:A"),"承租人权益价值",INDIRECT("'"&amp;G2&amp;"'"&amp;"!c:c"))</f>
        <v>#REF!</v>
      </c>
      <c r="F2" s="1654" t="str">
        <f>C2</f>
        <v>元</v>
      </c>
      <c r="G2" s="1655"/>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34993</v>
      </c>
      <c r="C3" s="1660" t="s">
        <v>2252</v>
      </c>
      <c r="D3" s="1660">
        <f>IF(C1="仅计算典型户型",'数据-取费表'!E5,'数据-取费表'!B5)</f>
        <v>136.06</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49" t="s">
        <v>2254</v>
      </c>
      <c r="D4" s="3450"/>
      <c r="E4" s="3451" t="s">
        <v>2255</v>
      </c>
      <c r="F4" s="3452"/>
      <c r="G4" s="3449" t="s">
        <v>2256</v>
      </c>
      <c r="H4" s="3450"/>
      <c r="I4" s="3449" t="s">
        <v>2257</v>
      </c>
      <c r="J4" s="3450"/>
      <c r="K4" s="1665" t="s">
        <v>2258</v>
      </c>
      <c r="L4" s="3000"/>
      <c r="M4" s="3001"/>
      <c r="N4" s="3001"/>
      <c r="O4" s="3001"/>
      <c r="P4" s="3453" t="s">
        <v>2259</v>
      </c>
      <c r="Q4" s="3454"/>
      <c r="R4" s="3438" t="s">
        <v>2255</v>
      </c>
      <c r="S4" s="3439"/>
      <c r="T4" s="3438" t="s">
        <v>2256</v>
      </c>
      <c r="U4" s="3439"/>
      <c r="V4" s="3459" t="s">
        <v>2257</v>
      </c>
      <c r="W4" s="3459"/>
      <c r="X4" s="1666"/>
      <c r="Y4" s="3438" t="s">
        <v>2259</v>
      </c>
      <c r="Z4" s="3439"/>
      <c r="AA4" s="3446" t="s">
        <v>2255</v>
      </c>
      <c r="AB4" s="3446" t="s">
        <v>2256</v>
      </c>
      <c r="AC4" s="3446" t="s">
        <v>2257</v>
      </c>
    </row>
    <row r="5" spans="1:29" ht="15">
      <c r="A5" s="1668"/>
      <c r="B5" s="1669"/>
      <c r="C5" s="3434" t="str">
        <f>项目基本情况!C8</f>
        <v>昌平区东小口镇天通北苑二区38号楼7层3单元703</v>
      </c>
      <c r="D5" s="3435"/>
      <c r="E5" s="3460" t="s">
        <v>2911</v>
      </c>
      <c r="F5" s="3461"/>
      <c r="G5" s="3434" t="str">
        <f>E5</f>
        <v>天通苑北二区</v>
      </c>
      <c r="H5" s="3435"/>
      <c r="I5" s="3434" t="str">
        <f>E5</f>
        <v>天通苑北二区</v>
      </c>
      <c r="J5" s="3435"/>
      <c r="K5" s="1670"/>
      <c r="L5" s="3000"/>
      <c r="M5" s="3001"/>
      <c r="N5" s="3001"/>
      <c r="O5" s="3001"/>
      <c r="P5" s="3455"/>
      <c r="Q5" s="3456"/>
      <c r="R5" s="3440"/>
      <c r="S5" s="3441"/>
      <c r="T5" s="3440"/>
      <c r="U5" s="3441"/>
      <c r="V5" s="3459"/>
      <c r="W5" s="3459"/>
      <c r="X5" s="1666"/>
      <c r="Y5" s="3440"/>
      <c r="Z5" s="3441"/>
      <c r="AA5" s="3447"/>
      <c r="AB5" s="3447"/>
      <c r="AC5" s="3447"/>
    </row>
    <row r="6" spans="1:29" ht="15.75" thickBot="1">
      <c r="A6" s="1671"/>
      <c r="B6" s="1672"/>
      <c r="C6" s="3432" t="s">
        <v>2264</v>
      </c>
      <c r="D6" s="3433"/>
      <c r="E6" s="3462" t="s">
        <v>2264</v>
      </c>
      <c r="F6" s="3463"/>
      <c r="G6" s="3432" t="s">
        <v>2264</v>
      </c>
      <c r="H6" s="3433"/>
      <c r="I6" s="3432" t="s">
        <v>2264</v>
      </c>
      <c r="J6" s="3433"/>
      <c r="K6" s="1670" t="s">
        <v>2265</v>
      </c>
      <c r="L6" s="3000"/>
      <c r="M6" s="3001"/>
      <c r="N6" s="3001"/>
      <c r="O6" s="3001"/>
      <c r="P6" s="3457"/>
      <c r="Q6" s="3458"/>
      <c r="R6" s="3440"/>
      <c r="S6" s="3441"/>
      <c r="T6" s="3442"/>
      <c r="U6" s="3443"/>
      <c r="V6" s="3459"/>
      <c r="W6" s="3459"/>
      <c r="X6" s="1666"/>
      <c r="Y6" s="3442"/>
      <c r="Z6" s="3443"/>
      <c r="AA6" s="3448"/>
      <c r="AB6" s="3448"/>
      <c r="AC6" s="3448"/>
    </row>
    <row r="7" spans="1:29" s="1685" customFormat="1" ht="15.75" thickBot="1">
      <c r="A7" s="1673" t="s">
        <v>2266</v>
      </c>
      <c r="B7" s="1674"/>
      <c r="C7" s="1675">
        <f>'数据-取费表'!B2</f>
        <v>43964</v>
      </c>
      <c r="D7" s="1676">
        <v>100</v>
      </c>
      <c r="E7" s="1677">
        <v>43960</v>
      </c>
      <c r="F7" s="1678">
        <f>SUMIF(58:58,YEAR(E7)&amp;"-"&amp;MONTH(E7),59:59)</f>
        <v>100</v>
      </c>
      <c r="G7" s="1677">
        <v>43949</v>
      </c>
      <c r="H7" s="1676">
        <f>SUMIF(58:58,YEAR(G7)&amp;"-"&amp;MONTH(G7),59:59)</f>
        <v>100</v>
      </c>
      <c r="I7" s="1677">
        <v>43933</v>
      </c>
      <c r="J7" s="1676">
        <f>SUMIF(58:58,YEAR(I7)&amp;"-"&amp;MONTH(I7),59:59)</f>
        <v>100</v>
      </c>
      <c r="K7" s="1679"/>
      <c r="L7" s="3000"/>
      <c r="M7" s="2973"/>
      <c r="N7" s="2973"/>
      <c r="O7" s="2973"/>
      <c r="P7" s="3436" t="s">
        <v>2267</v>
      </c>
      <c r="Q7" s="3444"/>
      <c r="R7" s="1681" t="s">
        <v>34</v>
      </c>
      <c r="S7" s="1682">
        <f t="shared" ref="S7:S15" si="0">F7</f>
        <v>100</v>
      </c>
      <c r="T7" s="1681" t="s">
        <v>34</v>
      </c>
      <c r="U7" s="1682">
        <f t="shared" ref="U7:U15" si="1">H7</f>
        <v>100</v>
      </c>
      <c r="V7" s="1681" t="s">
        <v>34</v>
      </c>
      <c r="W7" s="1682">
        <f t="shared" ref="W7:W15" si="2">J7</f>
        <v>100</v>
      </c>
      <c r="X7" s="1683"/>
      <c r="Y7" s="3436" t="s">
        <v>2267</v>
      </c>
      <c r="Z7" s="3437"/>
      <c r="AA7" s="1684">
        <f>D7/F7</f>
        <v>1</v>
      </c>
      <c r="AB7" s="1684">
        <f>D7/H7</f>
        <v>1</v>
      </c>
      <c r="AC7" s="1684">
        <f>D7/J7</f>
        <v>1</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3000"/>
      <c r="M8" s="2973"/>
      <c r="N8" s="2973"/>
      <c r="O8" s="2973"/>
      <c r="P8" s="3436" t="s">
        <v>2270</v>
      </c>
      <c r="Q8" s="3437"/>
      <c r="R8" s="1681" t="s">
        <v>34</v>
      </c>
      <c r="S8" s="1682">
        <f t="shared" si="0"/>
        <v>100</v>
      </c>
      <c r="T8" s="1681" t="s">
        <v>34</v>
      </c>
      <c r="U8" s="1682">
        <f t="shared" si="1"/>
        <v>100</v>
      </c>
      <c r="V8" s="1681" t="s">
        <v>34</v>
      </c>
      <c r="W8" s="1682">
        <f t="shared" si="2"/>
        <v>100</v>
      </c>
      <c r="X8" s="1683"/>
      <c r="Y8" s="3436" t="s">
        <v>2270</v>
      </c>
      <c r="Z8" s="3437"/>
      <c r="AA8" s="1684">
        <f t="shared" ref="AA8:AA46" si="3">D8/F8</f>
        <v>1</v>
      </c>
      <c r="AB8" s="1684">
        <f t="shared" ref="AB8:AB46" si="4">D8/H8</f>
        <v>1</v>
      </c>
      <c r="AC8" s="1684">
        <f t="shared" ref="AC8:AC46" si="5">D8/J8</f>
        <v>1</v>
      </c>
    </row>
    <row r="9" spans="1:29" s="1685" customFormat="1">
      <c r="A9" s="1636" t="s">
        <v>2271</v>
      </c>
      <c r="B9" s="1688" t="s">
        <v>2272</v>
      </c>
      <c r="C9" s="3153" t="s">
        <v>2910</v>
      </c>
      <c r="D9" s="1690">
        <v>100</v>
      </c>
      <c r="E9" s="1691" t="s">
        <v>2901</v>
      </c>
      <c r="F9" s="1692">
        <f>SUMIF(63:63,E9,64:64)-SUMIF(63:63,C9,64:64)+100</f>
        <v>100</v>
      </c>
      <c r="G9" s="1693" t="s">
        <v>2901</v>
      </c>
      <c r="H9" s="1690">
        <f>SUMIF(63:63,G9,64:64)-SUMIF(63:63,C9,64:64)+100</f>
        <v>100</v>
      </c>
      <c r="I9" s="1693" t="s">
        <v>2901</v>
      </c>
      <c r="J9" s="1690">
        <f>SUMIF(63:63,I9,64:64)-SUMIF(63:63,C9,64:64)+100</f>
        <v>100</v>
      </c>
      <c r="K9" s="1679"/>
      <c r="L9" s="3000"/>
      <c r="M9" s="2973"/>
      <c r="N9" s="2973"/>
      <c r="O9" s="2973"/>
      <c r="P9" s="3445" t="s">
        <v>2273</v>
      </c>
      <c r="Q9" s="1635" t="str">
        <f t="shared" ref="Q9:Q15" si="6">B9</f>
        <v>用途</v>
      </c>
      <c r="R9" s="1681" t="s">
        <v>25</v>
      </c>
      <c r="S9" s="1682">
        <f t="shared" si="0"/>
        <v>100</v>
      </c>
      <c r="T9" s="1681" t="s">
        <v>25</v>
      </c>
      <c r="U9" s="1682">
        <f t="shared" si="1"/>
        <v>100</v>
      </c>
      <c r="V9" s="1681" t="s">
        <v>25</v>
      </c>
      <c r="W9" s="1682">
        <f t="shared" si="2"/>
        <v>100</v>
      </c>
      <c r="X9" s="1683"/>
      <c r="Y9" s="3280"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2909</v>
      </c>
      <c r="D10" s="1698">
        <v>100</v>
      </c>
      <c r="E10" s="1699" t="s">
        <v>2909</v>
      </c>
      <c r="F10" s="1700">
        <f>SUMIF(65:65,E10,66:66)-SUMIF(65:65,C10,66:66)+100</f>
        <v>100</v>
      </c>
      <c r="G10" s="1697" t="s">
        <v>2909</v>
      </c>
      <c r="H10" s="1698">
        <f>SUMIF(65:65,G10,66:66)-SUMIF(65:65,C10,66:66)+100</f>
        <v>100</v>
      </c>
      <c r="I10" s="1697" t="s">
        <v>2909</v>
      </c>
      <c r="J10" s="1698">
        <f>SUMIF(65:65,I10,66:66)-SUMIF(65:65,C10,66:66)+100</f>
        <v>100</v>
      </c>
      <c r="K10" s="1701"/>
      <c r="L10" s="3002"/>
      <c r="M10" s="3003"/>
      <c r="N10" s="3003"/>
      <c r="O10" s="3003"/>
      <c r="P10" s="3445"/>
      <c r="Q10" s="1635" t="str">
        <f t="shared" si="6"/>
        <v>土地使用年限（年）</v>
      </c>
      <c r="R10" s="1681" t="s">
        <v>25</v>
      </c>
      <c r="S10" s="1682">
        <f t="shared" si="0"/>
        <v>100</v>
      </c>
      <c r="T10" s="1681" t="s">
        <v>25</v>
      </c>
      <c r="U10" s="1682">
        <f t="shared" si="1"/>
        <v>100</v>
      </c>
      <c r="V10" s="1681" t="s">
        <v>25</v>
      </c>
      <c r="W10" s="1682">
        <f t="shared" si="2"/>
        <v>100</v>
      </c>
      <c r="X10" s="1683"/>
      <c r="Y10" s="3280"/>
      <c r="Z10" s="1694" t="str">
        <f t="shared" si="7"/>
        <v>土地使用年限（年）</v>
      </c>
      <c r="AA10" s="1684">
        <f t="shared" si="3"/>
        <v>1</v>
      </c>
      <c r="AB10" s="1684">
        <f t="shared" si="4"/>
        <v>1</v>
      </c>
      <c r="AC10" s="1684">
        <f t="shared" si="5"/>
        <v>1</v>
      </c>
    </row>
    <row r="11" spans="1:29" ht="15" hidden="1">
      <c r="A11" s="1703"/>
      <c r="B11" s="1696" t="s">
        <v>2276</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4"/>
      <c r="M11" s="3001"/>
      <c r="N11" s="3001"/>
      <c r="O11" s="3001"/>
      <c r="P11" s="3445"/>
      <c r="Q11" s="1635" t="str">
        <f t="shared" si="6"/>
        <v>容积率</v>
      </c>
      <c r="R11" s="1681" t="s">
        <v>28</v>
      </c>
      <c r="S11" s="1682">
        <f t="shared" si="0"/>
        <v>100</v>
      </c>
      <c r="T11" s="1681" t="s">
        <v>28</v>
      </c>
      <c r="U11" s="1682">
        <f t="shared" si="1"/>
        <v>100</v>
      </c>
      <c r="V11" s="1681" t="s">
        <v>28</v>
      </c>
      <c r="W11" s="1682">
        <f t="shared" si="2"/>
        <v>100</v>
      </c>
      <c r="X11" s="1683"/>
      <c r="Y11" s="3280"/>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45"/>
      <c r="Q12" s="1635">
        <f t="shared" si="6"/>
        <v>111</v>
      </c>
      <c r="R12" s="1681" t="s">
        <v>28</v>
      </c>
      <c r="S12" s="1682">
        <f t="shared" si="0"/>
        <v>100</v>
      </c>
      <c r="T12" s="1681" t="s">
        <v>28</v>
      </c>
      <c r="U12" s="1682">
        <f t="shared" si="1"/>
        <v>100</v>
      </c>
      <c r="V12" s="1681" t="s">
        <v>28</v>
      </c>
      <c r="W12" s="1682">
        <f t="shared" si="2"/>
        <v>100</v>
      </c>
      <c r="X12" s="1683"/>
      <c r="Y12" s="3280"/>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45"/>
      <c r="Q13" s="1635">
        <f t="shared" si="6"/>
        <v>111</v>
      </c>
      <c r="R13" s="1681" t="s">
        <v>28</v>
      </c>
      <c r="S13" s="1682">
        <f t="shared" si="0"/>
        <v>100</v>
      </c>
      <c r="T13" s="1681" t="s">
        <v>28</v>
      </c>
      <c r="U13" s="1682">
        <f t="shared" si="1"/>
        <v>100</v>
      </c>
      <c r="V13" s="1681" t="s">
        <v>28</v>
      </c>
      <c r="W13" s="1682">
        <f t="shared" si="2"/>
        <v>100</v>
      </c>
      <c r="X13" s="1683"/>
      <c r="Y13" s="3280"/>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45"/>
      <c r="Q14" s="1635">
        <f t="shared" si="6"/>
        <v>111</v>
      </c>
      <c r="R14" s="1681" t="s">
        <v>28</v>
      </c>
      <c r="S14" s="1682">
        <f t="shared" si="0"/>
        <v>100</v>
      </c>
      <c r="T14" s="1681" t="s">
        <v>28</v>
      </c>
      <c r="U14" s="1682">
        <f t="shared" si="1"/>
        <v>100</v>
      </c>
      <c r="V14" s="1681" t="s">
        <v>28</v>
      </c>
      <c r="W14" s="1682">
        <f t="shared" si="2"/>
        <v>100</v>
      </c>
      <c r="X14" s="1683"/>
      <c r="Y14" s="3280"/>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23" t="s">
        <v>2278</v>
      </c>
      <c r="Q15" s="1616" t="str">
        <f t="shared" si="6"/>
        <v>居住社区成熟度</v>
      </c>
      <c r="R15" s="1726" t="s">
        <v>28</v>
      </c>
      <c r="S15" s="1727">
        <f t="shared" si="0"/>
        <v>100</v>
      </c>
      <c r="T15" s="1726" t="s">
        <v>28</v>
      </c>
      <c r="U15" s="1727">
        <f t="shared" si="1"/>
        <v>100</v>
      </c>
      <c r="V15" s="1726" t="s">
        <v>28</v>
      </c>
      <c r="W15" s="1727">
        <f t="shared" si="2"/>
        <v>100</v>
      </c>
      <c r="X15" s="1666"/>
      <c r="Y15" s="3425"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5"/>
      <c r="M16" s="3001"/>
      <c r="N16" s="3001"/>
      <c r="O16" s="3001"/>
      <c r="P16" s="3424"/>
      <c r="Q16" s="1616"/>
      <c r="R16" s="1726"/>
      <c r="S16" s="1727"/>
      <c r="T16" s="1726"/>
      <c r="U16" s="1727"/>
      <c r="V16" s="1726"/>
      <c r="W16" s="1727"/>
      <c r="X16" s="1666"/>
      <c r="Y16" s="3426"/>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24"/>
      <c r="Q17" s="1616" t="str">
        <f>B17</f>
        <v>交通便捷度</v>
      </c>
      <c r="R17" s="1726" t="s">
        <v>28</v>
      </c>
      <c r="S17" s="1727">
        <f>F17</f>
        <v>100</v>
      </c>
      <c r="T17" s="1726" t="s">
        <v>28</v>
      </c>
      <c r="U17" s="1727">
        <f>H17</f>
        <v>100</v>
      </c>
      <c r="V17" s="1726" t="s">
        <v>28</v>
      </c>
      <c r="W17" s="1727">
        <f>J17</f>
        <v>100</v>
      </c>
      <c r="X17" s="1666"/>
      <c r="Y17" s="342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5"/>
      <c r="M18" s="3001"/>
      <c r="N18" s="3001"/>
      <c r="O18" s="3001"/>
      <c r="P18" s="3424"/>
      <c r="Q18" s="1616"/>
      <c r="R18" s="1726"/>
      <c r="S18" s="1727"/>
      <c r="T18" s="1726"/>
      <c r="U18" s="1727"/>
      <c r="V18" s="1726"/>
      <c r="W18" s="1727"/>
      <c r="X18" s="1666"/>
      <c r="Y18" s="3426"/>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24"/>
      <c r="Q19" s="1616" t="str">
        <f>B19</f>
        <v>公共配套设施</v>
      </c>
      <c r="R19" s="1726" t="s">
        <v>28</v>
      </c>
      <c r="S19" s="1727">
        <f>F19</f>
        <v>100</v>
      </c>
      <c r="T19" s="1726" t="s">
        <v>28</v>
      </c>
      <c r="U19" s="1727">
        <f>H19</f>
        <v>100</v>
      </c>
      <c r="V19" s="1726" t="s">
        <v>28</v>
      </c>
      <c r="W19" s="1727">
        <f>J19</f>
        <v>100</v>
      </c>
      <c r="X19" s="1666"/>
      <c r="Y19" s="342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5"/>
      <c r="M20" s="3001"/>
      <c r="N20" s="3001"/>
      <c r="O20" s="3001"/>
      <c r="P20" s="3424"/>
      <c r="Q20" s="1616"/>
      <c r="R20" s="1726"/>
      <c r="S20" s="1727"/>
      <c r="T20" s="1726"/>
      <c r="U20" s="1727"/>
      <c r="V20" s="1726"/>
      <c r="W20" s="1727"/>
      <c r="X20" s="1666"/>
      <c r="Y20" s="3426"/>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24"/>
      <c r="Q21" s="1616" t="str">
        <f>B21</f>
        <v>基础设施水平</v>
      </c>
      <c r="R21" s="1726" t="s">
        <v>28</v>
      </c>
      <c r="S21" s="1727">
        <f>F21</f>
        <v>100</v>
      </c>
      <c r="T21" s="1726" t="s">
        <v>28</v>
      </c>
      <c r="U21" s="1727">
        <f>H21</f>
        <v>100</v>
      </c>
      <c r="V21" s="1726" t="s">
        <v>28</v>
      </c>
      <c r="W21" s="1727">
        <f>J21</f>
        <v>100</v>
      </c>
      <c r="X21" s="1666"/>
      <c r="Y21" s="342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5"/>
      <c r="M22" s="3001"/>
      <c r="N22" s="3001"/>
      <c r="O22" s="3001"/>
      <c r="P22" s="3424"/>
      <c r="Q22" s="1616"/>
      <c r="R22" s="1726"/>
      <c r="S22" s="1727"/>
      <c r="T22" s="1726"/>
      <c r="U22" s="1727"/>
      <c r="V22" s="1726"/>
      <c r="W22" s="1727"/>
      <c r="X22" s="1666"/>
      <c r="Y22" s="3426"/>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24"/>
      <c r="Q23" s="1616" t="str">
        <f>B23</f>
        <v>自然及人文环境</v>
      </c>
      <c r="R23" s="1726" t="s">
        <v>28</v>
      </c>
      <c r="S23" s="1727">
        <f>F23</f>
        <v>100</v>
      </c>
      <c r="T23" s="1726" t="s">
        <v>28</v>
      </c>
      <c r="U23" s="1727">
        <f>H23</f>
        <v>100</v>
      </c>
      <c r="V23" s="1726" t="s">
        <v>28</v>
      </c>
      <c r="W23" s="1727">
        <f>J23</f>
        <v>100</v>
      </c>
      <c r="X23" s="1666"/>
      <c r="Y23" s="342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5"/>
      <c r="M24" s="3001"/>
      <c r="N24" s="3001"/>
      <c r="O24" s="3001"/>
      <c r="P24" s="3424"/>
      <c r="Q24" s="1616"/>
      <c r="R24" s="1726"/>
      <c r="S24" s="1727"/>
      <c r="T24" s="1726"/>
      <c r="U24" s="1727"/>
      <c r="V24" s="1726"/>
      <c r="W24" s="1727"/>
      <c r="X24" s="1666"/>
      <c r="Y24" s="3426"/>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24"/>
      <c r="Q25" s="1616" t="str">
        <f t="shared" ref="Q25:Q46" si="11">B25</f>
        <v>楼层-1</v>
      </c>
      <c r="R25" s="1726" t="s">
        <v>28</v>
      </c>
      <c r="S25" s="1727">
        <f>F25</f>
        <v>100</v>
      </c>
      <c r="T25" s="1726" t="s">
        <v>28</v>
      </c>
      <c r="U25" s="1727">
        <f>H25</f>
        <v>100</v>
      </c>
      <c r="V25" s="1726" t="s">
        <v>28</v>
      </c>
      <c r="W25" s="1727">
        <f>J25</f>
        <v>100</v>
      </c>
      <c r="X25" s="1666"/>
      <c r="Y25" s="3426"/>
      <c r="Z25" s="1728" t="str">
        <f>Q25</f>
        <v>楼层-1</v>
      </c>
      <c r="AA25" s="1729">
        <f t="shared" si="3"/>
        <v>1</v>
      </c>
      <c r="AB25" s="1729">
        <f t="shared" si="4"/>
        <v>1</v>
      </c>
      <c r="AC25" s="1729">
        <f t="shared" si="5"/>
        <v>1</v>
      </c>
    </row>
    <row r="26" spans="1:29" ht="15.75" thickBot="1">
      <c r="A26" s="1703"/>
      <c r="B26" s="1696" t="s">
        <v>2280</v>
      </c>
      <c r="C26" s="1753" t="s">
        <v>2912</v>
      </c>
      <c r="D26" s="1712">
        <v>100</v>
      </c>
      <c r="E26" s="1754" t="s">
        <v>2912</v>
      </c>
      <c r="F26" s="1755">
        <f>SUMIF(88:88,E26,89:89)-SUMIF(88:88,C26,89:89)+100</f>
        <v>100</v>
      </c>
      <c r="G26" s="1756" t="s">
        <v>2912</v>
      </c>
      <c r="H26" s="1712">
        <f>SUMIF(88:88,G26,89:89)-SUMIF(88:88,C26,89:89)+100</f>
        <v>100</v>
      </c>
      <c r="I26" s="1754" t="s">
        <v>2912</v>
      </c>
      <c r="J26" s="1712">
        <f>SUMIF(88:88,I26,89:89)-SUMIF(88:88,C26,89:89)+100</f>
        <v>100</v>
      </c>
      <c r="K26" s="1701"/>
      <c r="L26" s="3005"/>
      <c r="M26" s="3001"/>
      <c r="N26" s="3001"/>
      <c r="O26" s="3001"/>
      <c r="P26" s="3424"/>
      <c r="Q26" s="1616" t="str">
        <f t="shared" si="11"/>
        <v>朝向</v>
      </c>
      <c r="R26" s="1726" t="s">
        <v>28</v>
      </c>
      <c r="S26" s="1727">
        <f>F26</f>
        <v>100</v>
      </c>
      <c r="T26" s="1726" t="s">
        <v>28</v>
      </c>
      <c r="U26" s="1727">
        <f>H26</f>
        <v>100</v>
      </c>
      <c r="V26" s="1726" t="s">
        <v>28</v>
      </c>
      <c r="W26" s="1727">
        <f>J26</f>
        <v>100</v>
      </c>
      <c r="X26" s="1666"/>
      <c r="Y26" s="3426"/>
      <c r="Z26" s="1728" t="str">
        <f>Q26</f>
        <v>朝向</v>
      </c>
      <c r="AA26" s="1729">
        <f t="shared" si="3"/>
        <v>1</v>
      </c>
      <c r="AB26" s="1729">
        <f t="shared" si="4"/>
        <v>1</v>
      </c>
      <c r="AC26" s="1729">
        <f t="shared" si="5"/>
        <v>1</v>
      </c>
    </row>
    <row r="27" spans="1:29" s="1685" customFormat="1" ht="15" hidden="1">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3000"/>
      <c r="M27" s="2973"/>
      <c r="N27" s="2973"/>
      <c r="O27" s="2973"/>
      <c r="P27" s="3424"/>
      <c r="Q27" s="1635" t="str">
        <f t="shared" si="11"/>
        <v>道路级别</v>
      </c>
      <c r="R27" s="1681" t="s">
        <v>28</v>
      </c>
      <c r="S27" s="1682">
        <f>F27</f>
        <v>100</v>
      </c>
      <c r="T27" s="1681" t="s">
        <v>28</v>
      </c>
      <c r="U27" s="1682">
        <f>H27</f>
        <v>100</v>
      </c>
      <c r="V27" s="1681" t="s">
        <v>28</v>
      </c>
      <c r="W27" s="1682">
        <f>J27</f>
        <v>100</v>
      </c>
      <c r="X27" s="1683"/>
      <c r="Y27" s="3426"/>
      <c r="Z27" s="1694" t="str">
        <f>Q27</f>
        <v>道路级别</v>
      </c>
      <c r="AA27" s="1729">
        <f>D27/F27</f>
        <v>1</v>
      </c>
      <c r="AB27" s="1729">
        <f>D27/H27</f>
        <v>1</v>
      </c>
      <c r="AC27" s="1729">
        <f>D27/J27</f>
        <v>1</v>
      </c>
    </row>
    <row r="28" spans="1:29" ht="15" hidden="1">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5"/>
      <c r="M28" s="3001"/>
      <c r="N28" s="3001"/>
      <c r="O28" s="3001"/>
      <c r="P28" s="3424"/>
      <c r="Q28" s="1616">
        <f t="shared" si="11"/>
        <v>111</v>
      </c>
      <c r="R28" s="1726" t="s">
        <v>28</v>
      </c>
      <c r="S28" s="1727">
        <f t="shared" ref="S28:S46" si="12">F28</f>
        <v>100</v>
      </c>
      <c r="T28" s="1726" t="s">
        <v>28</v>
      </c>
      <c r="U28" s="1727">
        <f t="shared" ref="U28:U46" si="13">H28</f>
        <v>100</v>
      </c>
      <c r="V28" s="1726" t="s">
        <v>28</v>
      </c>
      <c r="W28" s="1727">
        <f t="shared" ref="W28:W46" si="14">J28</f>
        <v>100</v>
      </c>
      <c r="X28" s="1666"/>
      <c r="Y28" s="3426"/>
      <c r="Z28" s="1728">
        <f t="shared" ref="Z28:Z46" si="15">Q28</f>
        <v>111</v>
      </c>
      <c r="AA28" s="1729">
        <f t="shared" si="3"/>
        <v>1</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24"/>
      <c r="Q29" s="1616">
        <f t="shared" si="11"/>
        <v>111</v>
      </c>
      <c r="R29" s="1726" t="s">
        <v>28</v>
      </c>
      <c r="S29" s="1727">
        <f t="shared" si="12"/>
        <v>100</v>
      </c>
      <c r="T29" s="1726" t="s">
        <v>28</v>
      </c>
      <c r="U29" s="1727">
        <f t="shared" si="13"/>
        <v>100</v>
      </c>
      <c r="V29" s="1726" t="s">
        <v>28</v>
      </c>
      <c r="W29" s="1727">
        <f t="shared" si="14"/>
        <v>100</v>
      </c>
      <c r="X29" s="1666"/>
      <c r="Y29" s="3426"/>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24"/>
      <c r="Q30" s="1616">
        <f t="shared" si="11"/>
        <v>111</v>
      </c>
      <c r="R30" s="1726" t="s">
        <v>28</v>
      </c>
      <c r="S30" s="1727">
        <f t="shared" si="12"/>
        <v>100</v>
      </c>
      <c r="T30" s="1726" t="s">
        <v>28</v>
      </c>
      <c r="U30" s="1727">
        <f t="shared" si="13"/>
        <v>100</v>
      </c>
      <c r="V30" s="1726" t="s">
        <v>28</v>
      </c>
      <c r="W30" s="1727">
        <f t="shared" si="14"/>
        <v>100</v>
      </c>
      <c r="X30" s="1666"/>
      <c r="Y30" s="3426"/>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24"/>
      <c r="Q31" s="1616">
        <f t="shared" si="11"/>
        <v>111</v>
      </c>
      <c r="R31" s="1726" t="s">
        <v>28</v>
      </c>
      <c r="S31" s="1727">
        <f t="shared" si="12"/>
        <v>100</v>
      </c>
      <c r="T31" s="1726" t="s">
        <v>28</v>
      </c>
      <c r="U31" s="1727">
        <f t="shared" si="13"/>
        <v>100</v>
      </c>
      <c r="V31" s="1726" t="s">
        <v>28</v>
      </c>
      <c r="W31" s="1727">
        <f t="shared" si="14"/>
        <v>100</v>
      </c>
      <c r="X31" s="1666"/>
      <c r="Y31" s="3426"/>
      <c r="Z31" s="1728">
        <f t="shared" si="15"/>
        <v>111</v>
      </c>
      <c r="AA31" s="1729">
        <f t="shared" si="3"/>
        <v>1</v>
      </c>
      <c r="AB31" s="1729">
        <f t="shared" si="4"/>
        <v>1</v>
      </c>
      <c r="AC31" s="1729">
        <f t="shared" si="5"/>
        <v>1</v>
      </c>
    </row>
    <row r="32" spans="1:29" ht="15">
      <c r="A32" s="1718" t="s">
        <v>2282</v>
      </c>
      <c r="B32" s="1688" t="s">
        <v>2283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5"/>
      <c r="M32" s="3001"/>
      <c r="N32" s="3001"/>
      <c r="O32" s="3001"/>
      <c r="P32" s="3427" t="s">
        <v>2284</v>
      </c>
      <c r="Q32" s="1616" t="str">
        <f t="shared" si="11"/>
        <v>建筑类型</v>
      </c>
      <c r="R32" s="1726" t="s">
        <v>28</v>
      </c>
      <c r="S32" s="1727">
        <f t="shared" si="12"/>
        <v>100</v>
      </c>
      <c r="T32" s="1726" t="s">
        <v>28</v>
      </c>
      <c r="U32" s="1727">
        <f t="shared" si="13"/>
        <v>100</v>
      </c>
      <c r="V32" s="1726" t="s">
        <v>28</v>
      </c>
      <c r="W32" s="1727">
        <f t="shared" si="14"/>
        <v>100</v>
      </c>
      <c r="X32" s="1666"/>
      <c r="Y32" s="3430" t="s">
        <v>2284</v>
      </c>
      <c r="Z32" s="1728" t="str">
        <f t="shared" si="15"/>
        <v>建筑类型</v>
      </c>
      <c r="AA32" s="1729">
        <f t="shared" si="3"/>
        <v>1</v>
      </c>
      <c r="AB32" s="1729">
        <f t="shared" si="4"/>
        <v>1</v>
      </c>
      <c r="AC32" s="1729">
        <f t="shared" si="5"/>
        <v>1</v>
      </c>
    </row>
    <row r="33" spans="1:29" s="1772" customFormat="1" ht="15">
      <c r="A33" s="1765"/>
      <c r="B33" s="1696" t="s">
        <v>2285</v>
      </c>
      <c r="C33" s="1766">
        <f>'数据-取费表'!B42</f>
        <v>136.06</v>
      </c>
      <c r="D33" s="1698">
        <v>100</v>
      </c>
      <c r="E33" s="1705">
        <v>114.68</v>
      </c>
      <c r="F33" s="1700">
        <f>LOOKUP(E33,103:103,104:104)-LOOKUP(C33,103:103,104:104)+100</f>
        <v>102</v>
      </c>
      <c r="G33" s="1704">
        <v>118.7</v>
      </c>
      <c r="H33" s="1698">
        <f>LOOKUP(G33,103:103,104:104)-LOOKUP(C33,103:103,104:104)+100</f>
        <v>102</v>
      </c>
      <c r="I33" s="1705">
        <v>123.54</v>
      </c>
      <c r="J33" s="1698">
        <f>LOOKUP(I33,103:103,104:104)-LOOKUP(C33,103:103,104:104)+100</f>
        <v>100</v>
      </c>
      <c r="K33" s="1710"/>
      <c r="L33" s="3004"/>
      <c r="M33" s="2060"/>
      <c r="N33" s="2060"/>
      <c r="O33" s="2060"/>
      <c r="P33" s="3428"/>
      <c r="Q33" s="1767" t="str">
        <f t="shared" si="11"/>
        <v>项目建筑规模</v>
      </c>
      <c r="R33" s="1768" t="s">
        <v>28</v>
      </c>
      <c r="S33" s="1769">
        <f t="shared" si="12"/>
        <v>102</v>
      </c>
      <c r="T33" s="1768" t="s">
        <v>28</v>
      </c>
      <c r="U33" s="1769">
        <f t="shared" si="13"/>
        <v>102</v>
      </c>
      <c r="V33" s="1768" t="s">
        <v>28</v>
      </c>
      <c r="W33" s="1769">
        <f t="shared" si="14"/>
        <v>100</v>
      </c>
      <c r="X33" s="1770"/>
      <c r="Y33" s="3430"/>
      <c r="Z33" s="1771" t="str">
        <f t="shared" si="15"/>
        <v>项目建筑规模</v>
      </c>
      <c r="AA33" s="1729">
        <f t="shared" si="3"/>
        <v>0.98039215686274506</v>
      </c>
      <c r="AB33" s="1729">
        <f t="shared" si="4"/>
        <v>0.98039215686274506</v>
      </c>
      <c r="AC33" s="1729">
        <f t="shared" si="5"/>
        <v>1</v>
      </c>
    </row>
    <row r="34" spans="1:29" ht="15">
      <c r="A34" s="1773"/>
      <c r="B34" s="1696" t="s">
        <v>2286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5"/>
      <c r="M34" s="3001"/>
      <c r="N34" s="3001"/>
      <c r="O34" s="3001"/>
      <c r="P34" s="3428"/>
      <c r="Q34" s="1616" t="str">
        <f t="shared" si="11"/>
        <v>建筑结构</v>
      </c>
      <c r="R34" s="1726" t="s">
        <v>28</v>
      </c>
      <c r="S34" s="1727">
        <f t="shared" si="12"/>
        <v>100</v>
      </c>
      <c r="T34" s="1726" t="s">
        <v>28</v>
      </c>
      <c r="U34" s="1727">
        <f t="shared" si="13"/>
        <v>100</v>
      </c>
      <c r="V34" s="1726" t="s">
        <v>28</v>
      </c>
      <c r="W34" s="1727">
        <f t="shared" si="14"/>
        <v>100</v>
      </c>
      <c r="X34" s="1666"/>
      <c r="Y34" s="3430"/>
      <c r="Z34" s="1728" t="str">
        <f t="shared" si="15"/>
        <v>建筑结构</v>
      </c>
      <c r="AA34" s="1729">
        <f t="shared" si="3"/>
        <v>1</v>
      </c>
      <c r="AB34" s="1729">
        <f t="shared" si="4"/>
        <v>1</v>
      </c>
      <c r="AC34" s="1729">
        <f t="shared" si="5"/>
        <v>1</v>
      </c>
    </row>
    <row r="35" spans="1:29" ht="15">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28"/>
      <c r="Q35" s="1616" t="str">
        <f t="shared" si="11"/>
        <v>建筑品质</v>
      </c>
      <c r="R35" s="1726" t="s">
        <v>28</v>
      </c>
      <c r="S35" s="1727">
        <f t="shared" si="12"/>
        <v>100</v>
      </c>
      <c r="T35" s="1726" t="s">
        <v>28</v>
      </c>
      <c r="U35" s="1727">
        <f t="shared" si="13"/>
        <v>100</v>
      </c>
      <c r="V35" s="1726" t="s">
        <v>28</v>
      </c>
      <c r="W35" s="1727">
        <f t="shared" si="14"/>
        <v>100</v>
      </c>
      <c r="X35" s="1666"/>
      <c r="Y35" s="3430"/>
      <c r="Z35" s="1728" t="str">
        <f t="shared" si="15"/>
        <v>建筑品质</v>
      </c>
      <c r="AA35" s="1729">
        <f t="shared" si="3"/>
        <v>1</v>
      </c>
      <c r="AB35" s="1729">
        <f t="shared" si="4"/>
        <v>1</v>
      </c>
      <c r="AC35" s="1729">
        <f t="shared" si="5"/>
        <v>1</v>
      </c>
    </row>
    <row r="36" spans="1:29" ht="15">
      <c r="A36" s="1773"/>
      <c r="B36" s="1696" t="s">
        <v>2288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5"/>
      <c r="M36" s="3001"/>
      <c r="N36" s="3001"/>
      <c r="O36" s="3001"/>
      <c r="P36" s="3428"/>
      <c r="Q36" s="1616" t="str">
        <f t="shared" si="11"/>
        <v>公共部分装修</v>
      </c>
      <c r="R36" s="1726" t="s">
        <v>28</v>
      </c>
      <c r="S36" s="1727">
        <f t="shared" si="12"/>
        <v>100</v>
      </c>
      <c r="T36" s="1726" t="s">
        <v>28</v>
      </c>
      <c r="U36" s="1727">
        <f t="shared" si="13"/>
        <v>100</v>
      </c>
      <c r="V36" s="1726" t="s">
        <v>28</v>
      </c>
      <c r="W36" s="1727">
        <f t="shared" si="14"/>
        <v>100</v>
      </c>
      <c r="X36" s="1666"/>
      <c r="Y36" s="3430"/>
      <c r="Z36" s="1728" t="str">
        <f t="shared" si="15"/>
        <v>公共部分装修</v>
      </c>
      <c r="AA36" s="1729">
        <f t="shared" si="3"/>
        <v>1</v>
      </c>
      <c r="AB36" s="1729">
        <f t="shared" si="4"/>
        <v>1</v>
      </c>
      <c r="AC36" s="1729">
        <f t="shared" si="5"/>
        <v>1</v>
      </c>
    </row>
    <row r="37" spans="1:29" s="1685" customFormat="1" ht="15">
      <c r="A37" s="1776"/>
      <c r="B37" s="1696" t="s">
        <v>2289</v>
      </c>
      <c r="C37" s="1777">
        <v>0.8</v>
      </c>
      <c r="D37" s="1698">
        <v>100</v>
      </c>
      <c r="E37" s="1778">
        <f>C37</f>
        <v>0.8</v>
      </c>
      <c r="F37" s="1700">
        <f>LOOKUP(E37,112:112,113:113)-LOOKUP(C37,112:112,113:113)+100</f>
        <v>100</v>
      </c>
      <c r="G37" s="1779">
        <f>C37</f>
        <v>0.8</v>
      </c>
      <c r="H37" s="1698">
        <f>LOOKUP(G37,112:112,113:113)-LOOKUP(C37,112:112,113:113)+100</f>
        <v>100</v>
      </c>
      <c r="I37" s="1778">
        <f>C37</f>
        <v>0.8</v>
      </c>
      <c r="J37" s="1698">
        <f>LOOKUP(I37,112:112,113:113)-LOOKUP(C37,112:112,113:113)+100</f>
        <v>100</v>
      </c>
      <c r="K37" s="1701"/>
      <c r="L37" s="3000"/>
      <c r="M37" s="2973"/>
      <c r="N37" s="2973"/>
      <c r="O37" s="2973"/>
      <c r="P37" s="3428"/>
      <c r="Q37" s="1635" t="str">
        <f t="shared" si="11"/>
        <v>成新度</v>
      </c>
      <c r="R37" s="1681" t="s">
        <v>28</v>
      </c>
      <c r="S37" s="1682">
        <f t="shared" si="12"/>
        <v>100</v>
      </c>
      <c r="T37" s="1681" t="s">
        <v>28</v>
      </c>
      <c r="U37" s="1682">
        <f t="shared" si="13"/>
        <v>100</v>
      </c>
      <c r="V37" s="1681" t="s">
        <v>28</v>
      </c>
      <c r="W37" s="1682">
        <f t="shared" si="14"/>
        <v>100</v>
      </c>
      <c r="X37" s="1683"/>
      <c r="Y37" s="3430"/>
      <c r="Z37" s="1694" t="str">
        <f t="shared" si="15"/>
        <v>成新度</v>
      </c>
      <c r="AA37" s="1684">
        <f t="shared" si="3"/>
        <v>1</v>
      </c>
      <c r="AB37" s="1684">
        <f t="shared" si="4"/>
        <v>1</v>
      </c>
      <c r="AC37" s="1684">
        <f t="shared" si="5"/>
        <v>1</v>
      </c>
    </row>
    <row r="38" spans="1:29" ht="15">
      <c r="A38" s="1773"/>
      <c r="B38" s="1696" t="s">
        <v>2290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5"/>
      <c r="M38" s="3001"/>
      <c r="N38" s="3001"/>
      <c r="O38" s="3001"/>
      <c r="P38" s="3428" t="s">
        <v>2284</v>
      </c>
      <c r="Q38" s="1616" t="str">
        <f t="shared" si="11"/>
        <v>物业管理</v>
      </c>
      <c r="R38" s="1726" t="s">
        <v>28</v>
      </c>
      <c r="S38" s="1727">
        <f t="shared" si="12"/>
        <v>100</v>
      </c>
      <c r="T38" s="1726" t="s">
        <v>28</v>
      </c>
      <c r="U38" s="1727">
        <f t="shared" si="13"/>
        <v>100</v>
      </c>
      <c r="V38" s="1726" t="s">
        <v>28</v>
      </c>
      <c r="W38" s="1727">
        <f t="shared" si="14"/>
        <v>100</v>
      </c>
      <c r="X38" s="1666"/>
      <c r="Y38" s="3430" t="s">
        <v>2284</v>
      </c>
      <c r="Z38" s="1728" t="str">
        <f t="shared" si="15"/>
        <v>物业管理</v>
      </c>
      <c r="AA38" s="1729">
        <f t="shared" si="3"/>
        <v>1</v>
      </c>
      <c r="AB38" s="1729">
        <f t="shared" si="4"/>
        <v>1</v>
      </c>
      <c r="AC38" s="1729">
        <f t="shared" si="5"/>
        <v>1</v>
      </c>
    </row>
    <row r="39" spans="1:29" ht="15">
      <c r="A39" s="1773"/>
      <c r="B39" s="1696" t="s">
        <v>2291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5"/>
      <c r="M39" s="3001"/>
      <c r="N39" s="3001"/>
      <c r="O39" s="3001"/>
      <c r="P39" s="3428"/>
      <c r="Q39" s="1616" t="str">
        <f t="shared" si="11"/>
        <v>市政基础设施</v>
      </c>
      <c r="R39" s="1726" t="s">
        <v>28</v>
      </c>
      <c r="S39" s="1727">
        <f t="shared" si="12"/>
        <v>100</v>
      </c>
      <c r="T39" s="1726" t="s">
        <v>28</v>
      </c>
      <c r="U39" s="1727">
        <f t="shared" si="13"/>
        <v>100</v>
      </c>
      <c r="V39" s="1726" t="s">
        <v>28</v>
      </c>
      <c r="W39" s="1727">
        <f t="shared" si="14"/>
        <v>100</v>
      </c>
      <c r="X39" s="1666"/>
      <c r="Y39" s="3430"/>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5"/>
      <c r="M40" s="3001"/>
      <c r="N40" s="3001"/>
      <c r="O40" s="3001"/>
      <c r="P40" s="3428"/>
      <c r="Q40" s="1616" t="str">
        <f t="shared" si="11"/>
        <v>房型</v>
      </c>
      <c r="R40" s="1726" t="s">
        <v>28</v>
      </c>
      <c r="S40" s="1727">
        <f t="shared" si="12"/>
        <v>100</v>
      </c>
      <c r="T40" s="1726" t="s">
        <v>28</v>
      </c>
      <c r="U40" s="1727">
        <f t="shared" si="13"/>
        <v>100</v>
      </c>
      <c r="V40" s="1726" t="s">
        <v>28</v>
      </c>
      <c r="W40" s="1727">
        <f t="shared" si="14"/>
        <v>100</v>
      </c>
      <c r="X40" s="1666"/>
      <c r="Y40" s="3430"/>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28"/>
      <c r="Q41" s="1767" t="str">
        <f t="shared" si="11"/>
        <v>单套/主力户型建筑面积</v>
      </c>
      <c r="R41" s="1768" t="s">
        <v>28</v>
      </c>
      <c r="S41" s="1769">
        <f t="shared" si="12"/>
        <v>100</v>
      </c>
      <c r="T41" s="1768" t="s">
        <v>28</v>
      </c>
      <c r="U41" s="1769">
        <f t="shared" si="13"/>
        <v>100</v>
      </c>
      <c r="V41" s="1768" t="s">
        <v>28</v>
      </c>
      <c r="W41" s="1769">
        <f t="shared" si="14"/>
        <v>100</v>
      </c>
      <c r="X41" s="1770"/>
      <c r="Y41" s="3430"/>
      <c r="Z41" s="1771" t="str">
        <f t="shared" si="15"/>
        <v>单套/主力户型建筑面积</v>
      </c>
      <c r="AA41" s="1729">
        <f t="shared" si="3"/>
        <v>1</v>
      </c>
      <c r="AB41" s="1729">
        <f t="shared" si="4"/>
        <v>1</v>
      </c>
      <c r="AC41" s="1729">
        <f t="shared" si="5"/>
        <v>1</v>
      </c>
    </row>
    <row r="42" spans="1:29" ht="15">
      <c r="A42" s="1773"/>
      <c r="B42" s="1696" t="s">
        <v>2294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5"/>
      <c r="M42" s="3001"/>
      <c r="N42" s="3001"/>
      <c r="O42" s="3001"/>
      <c r="P42" s="3428"/>
      <c r="Q42" s="1616" t="str">
        <f t="shared" si="11"/>
        <v>内部装修</v>
      </c>
      <c r="R42" s="1726" t="s">
        <v>28</v>
      </c>
      <c r="S42" s="1727">
        <f t="shared" si="12"/>
        <v>100</v>
      </c>
      <c r="T42" s="1726" t="s">
        <v>28</v>
      </c>
      <c r="U42" s="1727">
        <f t="shared" si="13"/>
        <v>100</v>
      </c>
      <c r="V42" s="1726" t="s">
        <v>28</v>
      </c>
      <c r="W42" s="1727">
        <f t="shared" si="14"/>
        <v>100</v>
      </c>
      <c r="X42" s="1666"/>
      <c r="Y42" s="3430"/>
      <c r="Z42" s="1728" t="str">
        <f t="shared" si="15"/>
        <v>内部装修</v>
      </c>
      <c r="AA42" s="1729">
        <f t="shared" si="3"/>
        <v>1</v>
      </c>
      <c r="AB42" s="1729">
        <f t="shared" si="4"/>
        <v>1</v>
      </c>
      <c r="AC42" s="1729">
        <f t="shared" si="5"/>
        <v>1</v>
      </c>
    </row>
    <row r="43" spans="1:29" ht="15">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5"/>
      <c r="M43" s="3001"/>
      <c r="N43" s="3001"/>
      <c r="O43" s="3001"/>
      <c r="P43" s="3428"/>
      <c r="Q43" s="1616" t="str">
        <f t="shared" si="11"/>
        <v>内部装修维护情况</v>
      </c>
      <c r="R43" s="1726" t="s">
        <v>28</v>
      </c>
      <c r="S43" s="1727">
        <f t="shared" si="12"/>
        <v>100</v>
      </c>
      <c r="T43" s="1726" t="s">
        <v>28</v>
      </c>
      <c r="U43" s="1727">
        <f t="shared" si="13"/>
        <v>100</v>
      </c>
      <c r="V43" s="1726" t="s">
        <v>28</v>
      </c>
      <c r="W43" s="1727">
        <f t="shared" si="14"/>
        <v>100</v>
      </c>
      <c r="X43" s="1666"/>
      <c r="Y43" s="3430"/>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3000"/>
      <c r="M44" s="2973"/>
      <c r="N44" s="2973"/>
      <c r="O44" s="2973"/>
      <c r="P44" s="3428"/>
      <c r="Q44" s="1635">
        <f t="shared" si="11"/>
        <v>111</v>
      </c>
      <c r="R44" s="1681" t="s">
        <v>28</v>
      </c>
      <c r="S44" s="1682">
        <f t="shared" si="12"/>
        <v>100</v>
      </c>
      <c r="T44" s="1681" t="s">
        <v>28</v>
      </c>
      <c r="U44" s="1682">
        <f t="shared" si="13"/>
        <v>100</v>
      </c>
      <c r="V44" s="1681" t="s">
        <v>28</v>
      </c>
      <c r="W44" s="1682">
        <f t="shared" si="14"/>
        <v>100</v>
      </c>
      <c r="X44" s="1683"/>
      <c r="Y44" s="343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28"/>
      <c r="Q45" s="1616">
        <f t="shared" si="11"/>
        <v>111</v>
      </c>
      <c r="R45" s="1726" t="s">
        <v>28</v>
      </c>
      <c r="S45" s="1727">
        <f t="shared" si="12"/>
        <v>100</v>
      </c>
      <c r="T45" s="1726" t="s">
        <v>28</v>
      </c>
      <c r="U45" s="1727">
        <f t="shared" si="13"/>
        <v>100</v>
      </c>
      <c r="V45" s="1726" t="s">
        <v>28</v>
      </c>
      <c r="W45" s="1727">
        <f t="shared" si="14"/>
        <v>100</v>
      </c>
      <c r="X45" s="1666"/>
      <c r="Y45" s="3430"/>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29"/>
      <c r="Q46" s="1616">
        <f t="shared" si="11"/>
        <v>111</v>
      </c>
      <c r="R46" s="1726" t="s">
        <v>27</v>
      </c>
      <c r="S46" s="1727">
        <f t="shared" si="12"/>
        <v>100</v>
      </c>
      <c r="T46" s="1726" t="s">
        <v>27</v>
      </c>
      <c r="U46" s="1727">
        <f t="shared" si="13"/>
        <v>100</v>
      </c>
      <c r="V46" s="1726" t="s">
        <v>27</v>
      </c>
      <c r="W46" s="1727">
        <f t="shared" si="14"/>
        <v>100</v>
      </c>
      <c r="X46" s="1666"/>
      <c r="Y46" s="3431"/>
      <c r="Z46" s="1728">
        <f t="shared" si="15"/>
        <v>111</v>
      </c>
      <c r="AA46" s="1729">
        <f t="shared" si="3"/>
        <v>1</v>
      </c>
      <c r="AB46" s="1729">
        <f t="shared" si="4"/>
        <v>1</v>
      </c>
      <c r="AC46" s="1729">
        <f t="shared" si="5"/>
        <v>1</v>
      </c>
    </row>
    <row r="47" spans="1:29" ht="15">
      <c r="A47" s="1782" t="s">
        <v>2296</v>
      </c>
      <c r="B47" s="1783"/>
      <c r="C47" s="1784" t="s">
        <v>26</v>
      </c>
      <c r="D47" s="1785"/>
      <c r="E47" s="1786">
        <v>35316</v>
      </c>
      <c r="F47" s="1787"/>
      <c r="G47" s="1788">
        <v>37911</v>
      </c>
      <c r="H47" s="1789"/>
      <c r="I47" s="1786">
        <v>33188</v>
      </c>
      <c r="J47" s="1789"/>
      <c r="K47" s="1790"/>
      <c r="L47" s="3006"/>
      <c r="N47" s="3001"/>
      <c r="P47" s="3422" t="str">
        <f>A47</f>
        <v>成交单价（元/平方米）</v>
      </c>
      <c r="Q47" s="3422"/>
      <c r="R47" s="3418">
        <f>E47</f>
        <v>35316</v>
      </c>
      <c r="S47" s="3418"/>
      <c r="T47" s="3418">
        <f>G47</f>
        <v>37911</v>
      </c>
      <c r="U47" s="3418"/>
      <c r="V47" s="3418">
        <f>I47</f>
        <v>33188</v>
      </c>
      <c r="W47" s="3418"/>
      <c r="X47" s="1792"/>
      <c r="Y47" s="1793"/>
      <c r="Z47" s="1792"/>
      <c r="AA47" s="1792"/>
      <c r="AB47" s="1792"/>
      <c r="AC47" s="1792"/>
    </row>
    <row r="48" spans="1:29" ht="15.75" thickBot="1">
      <c r="A48" s="1794" t="s">
        <v>2297</v>
      </c>
      <c r="B48" s="1795"/>
      <c r="C48" s="1796">
        <f>R49</f>
        <v>34993</v>
      </c>
      <c r="D48" s="1797" t="s">
        <v>2754</v>
      </c>
      <c r="E48" s="1798">
        <f>R48</f>
        <v>34623.5</v>
      </c>
      <c r="F48" s="1799"/>
      <c r="G48" s="1796">
        <f>T48</f>
        <v>37167.599999999999</v>
      </c>
      <c r="H48" s="1799"/>
      <c r="I48" s="1798">
        <f>V48</f>
        <v>33188</v>
      </c>
      <c r="J48" s="1799"/>
      <c r="K48" s="2515">
        <f>F48+H48+J48</f>
        <v>0</v>
      </c>
      <c r="L48" s="3006"/>
      <c r="P48" s="3422" t="str">
        <f>A48</f>
        <v>比较价值（元/平方米）</v>
      </c>
      <c r="Q48" s="3422"/>
      <c r="R48" s="3418">
        <f>IF(E1="售价",ROUND(PRODUCT(R47,AA7:AA46),0),ROUND(PRODUCT(R47,AA7:AA46),1))</f>
        <v>34623.5</v>
      </c>
      <c r="S48" s="3418"/>
      <c r="T48" s="3416">
        <f>IF(E1="售价",ROUND(PRODUCT(T47,AB7:AB46),0),ROUND(PRODUCT(T47,AB7:AB46),1))</f>
        <v>37167.599999999999</v>
      </c>
      <c r="U48" s="3417"/>
      <c r="V48" s="3418">
        <f>IF(E1="售价",ROUND(PRODUCT(V47,AC7:AC46),0),ROUND(PRODUCT(V47,AC7:AC46),1))</f>
        <v>33188</v>
      </c>
      <c r="W48" s="3418"/>
      <c r="X48" s="1792"/>
      <c r="Y48" s="1792"/>
      <c r="Z48" s="1792"/>
      <c r="AA48" s="1792"/>
      <c r="AB48" s="1792"/>
      <c r="AC48" s="1792"/>
    </row>
    <row r="49" spans="1:29" ht="15.75" thickBot="1">
      <c r="A49" s="1800" t="s">
        <v>2298</v>
      </c>
      <c r="B49" s="1801"/>
      <c r="C49" s="1802">
        <f>R49</f>
        <v>34993</v>
      </c>
      <c r="D49" s="1803"/>
      <c r="E49" s="1803"/>
      <c r="F49" s="1803"/>
      <c r="G49" s="1803"/>
      <c r="H49" s="1803"/>
      <c r="I49" s="1803"/>
      <c r="J49" s="1803"/>
      <c r="K49" s="1804"/>
      <c r="L49" s="3006"/>
      <c r="P49" s="3419" t="str">
        <f>A49</f>
        <v>估价对象XX用房的比较价值（楼面单价，元/平方米）</v>
      </c>
      <c r="Q49" s="3420"/>
      <c r="R49" s="3421">
        <f>IF(E1="售价",ROUND(IF(D48="简单平均",AVERAGE(R48:V48),R48*F48+T48*H48+V48*J48),0),ROUND(IF(D48="简单平均",AVERAGE(R48:V48),R48*F48+T48*H48+V48*J48),1))</f>
        <v>34993</v>
      </c>
      <c r="S49" s="3421"/>
      <c r="T49" s="3421"/>
      <c r="U49" s="3421"/>
      <c r="V49" s="3421"/>
      <c r="W49" s="3421"/>
      <c r="X49" s="1792"/>
      <c r="Y49" s="1792"/>
      <c r="Z49" s="1792"/>
      <c r="AA49" s="1792"/>
      <c r="AB49" s="1792"/>
      <c r="AC49" s="1792"/>
    </row>
    <row r="50" spans="1:29">
      <c r="G50" s="3010"/>
    </row>
    <row r="52" spans="1:29" ht="13.5" customHeight="1">
      <c r="C52" s="383" t="s">
        <v>2299</v>
      </c>
      <c r="D52" s="1808"/>
      <c r="E52" s="1809">
        <f>IF(E47&lt;E48,E48/E47-1,E47/E48-1)</f>
        <v>2.0000866463529166E-2</v>
      </c>
      <c r="F52" s="1810" t="str">
        <f>IF(OR(E52&gt;=0.3,E52&lt;=-0.3),"超过30%","")</f>
        <v/>
      </c>
      <c r="G52" s="1809">
        <f>IF(G47&lt;G48,G48/G47-1,G47/G48-1)</f>
        <v>2.0001291447389713E-2</v>
      </c>
      <c r="H52" s="1810" t="str">
        <f>IF(OR(G52&gt;=0.3,G52&lt;=-0.3),"超过30%","")</f>
        <v/>
      </c>
      <c r="I52" s="1809">
        <f>IF(I47&lt;I48,I48/I47-1,I47/I48-1)</f>
        <v>0</v>
      </c>
      <c r="J52" s="1810" t="str">
        <f>IF(OR(I52&gt;=0.3,I52&lt;=-0.3),"超过30%","")</f>
        <v/>
      </c>
    </row>
    <row r="53" spans="1:29" ht="13.5" customHeight="1">
      <c r="C53" s="383" t="s">
        <v>2300</v>
      </c>
      <c r="D53" s="1811"/>
      <c r="E53" s="1809">
        <f>IF(E48&lt;G48,G48/E48-1,E48/G48-1)</f>
        <v>7.3478995479948628E-2</v>
      </c>
      <c r="F53" s="1810" t="str">
        <f>IF(OR(E53&gt;=0.2,E53&lt;=-0.2),"超过20%","")</f>
        <v/>
      </c>
      <c r="G53" s="1809">
        <f>IF(G48&lt;I48,I48/G48-1,G48/I48-1)</f>
        <v>0.11991081113655544</v>
      </c>
      <c r="H53" s="1810" t="str">
        <f>IF(OR(G53&gt;=0.2,G53&lt;=-0.2),"超过20%","")</f>
        <v/>
      </c>
      <c r="I53" s="1809">
        <f>IF(I48&lt;E48,E48/I48-1,I48/E48-1)</f>
        <v>4.3253585633361347E-2</v>
      </c>
      <c r="J53" s="1810" t="str">
        <f>IF(OR(I53&gt;=0.2,I53&lt;=-0.2),"超过20%","")</f>
        <v/>
      </c>
    </row>
    <row r="54" spans="1:29" s="1814" customFormat="1" ht="13.5" customHeight="1">
      <c r="C54" s="383" t="s">
        <v>2301</v>
      </c>
      <c r="D54" s="1811"/>
      <c r="E54" s="1809">
        <f>IF(E47&lt;G47,G47/E47-1,E47/G47-1)</f>
        <v>7.3479442745497892E-2</v>
      </c>
      <c r="F54" s="1810" t="str">
        <f>IF(OR(E54&gt;=0.3,E54&lt;=-0.3),"超过30%","")</f>
        <v/>
      </c>
      <c r="G54" s="1809">
        <f>IF(G47&lt;I47,I47/G47-1,G47/I47-1)</f>
        <v>0.14231047366518013</v>
      </c>
      <c r="H54" s="1810" t="str">
        <f>IF(OR(G54&gt;=0.3,G54&lt;=-0.3),"超过30%","")</f>
        <v/>
      </c>
      <c r="I54" s="1809">
        <f>IF(I47&lt;E47,E47/I47-1,I47/E47-1)</f>
        <v>6.4119561287212301E-2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2020-5</v>
      </c>
      <c r="D58" s="1826">
        <f>EDATE(C58,-1)</f>
        <v>43922</v>
      </c>
      <c r="E58" s="1826">
        <f t="shared" ref="E58:O58" si="16">EDATE(D58,-1)</f>
        <v>43891</v>
      </c>
      <c r="F58" s="1826">
        <f t="shared" si="16"/>
        <v>43862</v>
      </c>
      <c r="G58" s="1826">
        <f t="shared" si="16"/>
        <v>43831</v>
      </c>
      <c r="H58" s="1826">
        <f t="shared" si="16"/>
        <v>43800</v>
      </c>
      <c r="I58" s="1826">
        <f t="shared" si="16"/>
        <v>43770</v>
      </c>
      <c r="J58" s="1826">
        <f t="shared" si="16"/>
        <v>43739</v>
      </c>
      <c r="K58" s="1826">
        <f t="shared" si="16"/>
        <v>43709</v>
      </c>
      <c r="L58" s="1826">
        <f t="shared" si="16"/>
        <v>43678</v>
      </c>
      <c r="M58" s="1826">
        <f t="shared" si="16"/>
        <v>43647</v>
      </c>
      <c r="N58" s="1826">
        <f t="shared" si="16"/>
        <v>43617</v>
      </c>
      <c r="O58" s="1826">
        <f t="shared" si="16"/>
        <v>43586</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4" t="s">
        <v>2913</v>
      </c>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0(含)-120</v>
      </c>
      <c r="D102" s="579" t="str">
        <f t="shared" ref="D102:L102" si="23">D103&amp;"(含)"&amp;"-"&amp;E103</f>
        <v>120(含)-160</v>
      </c>
      <c r="E102" s="579" t="str">
        <f t="shared" si="23"/>
        <v>160(含)-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120</v>
      </c>
      <c r="E103" s="1902">
        <v>160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136.06</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49" t="s">
        <v>2254</v>
      </c>
      <c r="D4" s="3450"/>
      <c r="E4" s="3451" t="s">
        <v>2255</v>
      </c>
      <c r="F4" s="3452"/>
      <c r="G4" s="3449" t="s">
        <v>2256</v>
      </c>
      <c r="H4" s="3450"/>
      <c r="I4" s="3449" t="s">
        <v>2257</v>
      </c>
      <c r="J4" s="3450"/>
      <c r="K4" s="1966" t="s">
        <v>2258</v>
      </c>
      <c r="L4" s="3000"/>
      <c r="M4" s="3001"/>
      <c r="N4" s="3001"/>
      <c r="O4" s="3001"/>
      <c r="P4" s="3453" t="s">
        <v>2259</v>
      </c>
      <c r="Q4" s="3454"/>
      <c r="R4" s="3438" t="s">
        <v>2255</v>
      </c>
      <c r="S4" s="3439"/>
      <c r="T4" s="3438" t="s">
        <v>2256</v>
      </c>
      <c r="U4" s="3439"/>
      <c r="V4" s="3459" t="s">
        <v>2257</v>
      </c>
      <c r="W4" s="3459"/>
      <c r="X4" s="2075"/>
      <c r="Y4" s="3438" t="s">
        <v>2259</v>
      </c>
      <c r="Z4" s="3439"/>
      <c r="AA4" s="3446" t="s">
        <v>2255</v>
      </c>
      <c r="AB4" s="3459" t="s">
        <v>2256</v>
      </c>
      <c r="AC4" s="3446" t="s">
        <v>2257</v>
      </c>
    </row>
    <row r="5" spans="1:29" ht="15">
      <c r="A5" s="1668"/>
      <c r="B5" s="1669"/>
      <c r="C5" s="3434" t="s">
        <v>2260</v>
      </c>
      <c r="D5" s="3435"/>
      <c r="E5" s="3464" t="s">
        <v>2261</v>
      </c>
      <c r="F5" s="3461"/>
      <c r="G5" s="3434" t="s">
        <v>2262</v>
      </c>
      <c r="H5" s="3435"/>
      <c r="I5" s="3434" t="s">
        <v>2263</v>
      </c>
      <c r="J5" s="3435"/>
      <c r="K5" s="1966"/>
      <c r="L5" s="3000"/>
      <c r="M5" s="3001"/>
      <c r="N5" s="3001"/>
      <c r="O5" s="3001"/>
      <c r="P5" s="3455"/>
      <c r="Q5" s="3456"/>
      <c r="R5" s="3440"/>
      <c r="S5" s="3441"/>
      <c r="T5" s="3440"/>
      <c r="U5" s="3441"/>
      <c r="V5" s="3459"/>
      <c r="W5" s="3459"/>
      <c r="X5" s="2075"/>
      <c r="Y5" s="3440"/>
      <c r="Z5" s="3441"/>
      <c r="AA5" s="3447"/>
      <c r="AB5" s="3459"/>
      <c r="AC5" s="3447"/>
    </row>
    <row r="6" spans="1:29" ht="15.75" thickBot="1">
      <c r="A6" s="1671"/>
      <c r="B6" s="1672"/>
      <c r="C6" s="3432" t="s">
        <v>2264</v>
      </c>
      <c r="D6" s="3433"/>
      <c r="E6" s="3462" t="s">
        <v>2264</v>
      </c>
      <c r="F6" s="3463"/>
      <c r="G6" s="3432" t="s">
        <v>2264</v>
      </c>
      <c r="H6" s="3433"/>
      <c r="I6" s="3432" t="s">
        <v>2264</v>
      </c>
      <c r="J6" s="3433"/>
      <c r="K6" s="1966" t="s">
        <v>2265</v>
      </c>
      <c r="L6" s="3000"/>
      <c r="M6" s="3001"/>
      <c r="N6" s="3001"/>
      <c r="O6" s="3001"/>
      <c r="P6" s="3457"/>
      <c r="Q6" s="3458"/>
      <c r="R6" s="3440"/>
      <c r="S6" s="3441"/>
      <c r="T6" s="3442"/>
      <c r="U6" s="3443"/>
      <c r="V6" s="3459"/>
      <c r="W6" s="3459"/>
      <c r="X6" s="2075"/>
      <c r="Y6" s="3442"/>
      <c r="Z6" s="3443"/>
      <c r="AA6" s="3448"/>
      <c r="AB6" s="3459"/>
      <c r="AC6" s="3448"/>
    </row>
    <row r="7" spans="1:29" s="1685" customFormat="1" ht="15.75" thickBot="1">
      <c r="A7" s="1673" t="s">
        <v>2266</v>
      </c>
      <c r="B7" s="1674"/>
      <c r="C7" s="1675">
        <f>'数据-取费表'!B2</f>
        <v>43964</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36" t="s">
        <v>2267</v>
      </c>
      <c r="Q7" s="3444"/>
      <c r="R7" s="1681" t="s">
        <v>25</v>
      </c>
      <c r="S7" s="1682">
        <f t="shared" ref="S7:S15" si="0">F7</f>
        <v>0</v>
      </c>
      <c r="T7" s="1681" t="s">
        <v>25</v>
      </c>
      <c r="U7" s="1682">
        <f t="shared" ref="U7:U15" si="1">H7</f>
        <v>0</v>
      </c>
      <c r="V7" s="1681" t="s">
        <v>25</v>
      </c>
      <c r="W7" s="1682">
        <f t="shared" ref="W7:W15" si="2">J7</f>
        <v>0</v>
      </c>
      <c r="X7" s="1683"/>
      <c r="Y7" s="3436" t="s">
        <v>2267</v>
      </c>
      <c r="Z7" s="3437"/>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36" t="s">
        <v>2270</v>
      </c>
      <c r="Q8" s="3437"/>
      <c r="R8" s="1681" t="s">
        <v>25</v>
      </c>
      <c r="S8" s="1682">
        <f t="shared" si="0"/>
        <v>0</v>
      </c>
      <c r="T8" s="1681" t="s">
        <v>25</v>
      </c>
      <c r="U8" s="1682">
        <f t="shared" si="1"/>
        <v>0</v>
      </c>
      <c r="V8" s="1681" t="s">
        <v>25</v>
      </c>
      <c r="W8" s="1682">
        <f t="shared" si="2"/>
        <v>0</v>
      </c>
      <c r="X8" s="1683"/>
      <c r="Y8" s="3436" t="s">
        <v>2270</v>
      </c>
      <c r="Z8" s="3437"/>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45" t="s">
        <v>2273</v>
      </c>
      <c r="Q9" s="2066" t="str">
        <f t="shared" ref="Q9:Q15" si="6">B9</f>
        <v>用途</v>
      </c>
      <c r="R9" s="1681" t="s">
        <v>25</v>
      </c>
      <c r="S9" s="1682">
        <f t="shared" si="0"/>
        <v>100</v>
      </c>
      <c r="T9" s="1681" t="s">
        <v>25</v>
      </c>
      <c r="U9" s="1682">
        <f t="shared" si="1"/>
        <v>100</v>
      </c>
      <c r="V9" s="1681" t="s">
        <v>25</v>
      </c>
      <c r="W9" s="1682">
        <f t="shared" si="2"/>
        <v>100</v>
      </c>
      <c r="X9" s="1683"/>
      <c r="Y9" s="3280"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45"/>
      <c r="Q10" s="2066" t="str">
        <f t="shared" si="6"/>
        <v>土地使用年限（年）</v>
      </c>
      <c r="R10" s="1681" t="s">
        <v>25</v>
      </c>
      <c r="S10" s="1682">
        <f t="shared" si="0"/>
        <v>100</v>
      </c>
      <c r="T10" s="1681" t="s">
        <v>25</v>
      </c>
      <c r="U10" s="1682">
        <f t="shared" si="1"/>
        <v>100</v>
      </c>
      <c r="V10" s="1681" t="s">
        <v>25</v>
      </c>
      <c r="W10" s="1682">
        <f t="shared" si="2"/>
        <v>100</v>
      </c>
      <c r="X10" s="1683"/>
      <c r="Y10" s="3280"/>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45"/>
      <c r="Q11" s="2066" t="str">
        <f t="shared" si="6"/>
        <v>容积率</v>
      </c>
      <c r="R11" s="1681" t="s">
        <v>25</v>
      </c>
      <c r="S11" s="1682" t="e">
        <f t="shared" si="0"/>
        <v>#N/A</v>
      </c>
      <c r="T11" s="1681" t="s">
        <v>25</v>
      </c>
      <c r="U11" s="1682" t="e">
        <f t="shared" si="1"/>
        <v>#N/A</v>
      </c>
      <c r="V11" s="1681" t="s">
        <v>25</v>
      </c>
      <c r="W11" s="1682" t="e">
        <f t="shared" si="2"/>
        <v>#N/A</v>
      </c>
      <c r="X11" s="1683"/>
      <c r="Y11" s="328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45"/>
      <c r="Q12" s="2066">
        <f t="shared" si="6"/>
        <v>111</v>
      </c>
      <c r="R12" s="1681" t="s">
        <v>25</v>
      </c>
      <c r="S12" s="1682">
        <f t="shared" si="0"/>
        <v>100</v>
      </c>
      <c r="T12" s="1681" t="s">
        <v>25</v>
      </c>
      <c r="U12" s="1682">
        <f t="shared" si="1"/>
        <v>100</v>
      </c>
      <c r="V12" s="1681" t="s">
        <v>25</v>
      </c>
      <c r="W12" s="1682">
        <f t="shared" si="2"/>
        <v>100</v>
      </c>
      <c r="X12" s="1683"/>
      <c r="Y12" s="328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45"/>
      <c r="Q13" s="2066">
        <f t="shared" si="6"/>
        <v>111</v>
      </c>
      <c r="R13" s="1681" t="s">
        <v>25</v>
      </c>
      <c r="S13" s="1682">
        <f t="shared" si="0"/>
        <v>100</v>
      </c>
      <c r="T13" s="1681" t="s">
        <v>25</v>
      </c>
      <c r="U13" s="1682">
        <f t="shared" si="1"/>
        <v>100</v>
      </c>
      <c r="V13" s="1681" t="s">
        <v>25</v>
      </c>
      <c r="W13" s="1682">
        <f t="shared" si="2"/>
        <v>100</v>
      </c>
      <c r="X13" s="1683"/>
      <c r="Y13" s="328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45"/>
      <c r="Q14" s="2066">
        <f t="shared" si="6"/>
        <v>111</v>
      </c>
      <c r="R14" s="1681" t="s">
        <v>25</v>
      </c>
      <c r="S14" s="1682">
        <f t="shared" si="0"/>
        <v>100</v>
      </c>
      <c r="T14" s="1681" t="s">
        <v>25</v>
      </c>
      <c r="U14" s="1682">
        <f t="shared" si="1"/>
        <v>100</v>
      </c>
      <c r="V14" s="1681" t="s">
        <v>25</v>
      </c>
      <c r="W14" s="1682">
        <f t="shared" si="2"/>
        <v>100</v>
      </c>
      <c r="X14" s="1683"/>
      <c r="Y14" s="3280"/>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23" t="s">
        <v>2278</v>
      </c>
      <c r="Q15" s="2072" t="str">
        <f t="shared" si="6"/>
        <v>商业繁华度</v>
      </c>
      <c r="R15" s="1726" t="s">
        <v>25</v>
      </c>
      <c r="S15" s="1727">
        <f t="shared" si="0"/>
        <v>100</v>
      </c>
      <c r="T15" s="1726" t="s">
        <v>25</v>
      </c>
      <c r="U15" s="1727">
        <f t="shared" si="1"/>
        <v>100</v>
      </c>
      <c r="V15" s="1726" t="s">
        <v>25</v>
      </c>
      <c r="W15" s="1727">
        <f t="shared" si="2"/>
        <v>100</v>
      </c>
      <c r="X15" s="2075"/>
      <c r="Y15" s="3425"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24"/>
      <c r="Q16" s="2072"/>
      <c r="R16" s="1726"/>
      <c r="S16" s="1727"/>
      <c r="T16" s="1726"/>
      <c r="U16" s="1727"/>
      <c r="V16" s="1726"/>
      <c r="W16" s="1727"/>
      <c r="X16" s="2075"/>
      <c r="Y16" s="3426"/>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24"/>
      <c r="Q17" s="2072" t="str">
        <f>B17</f>
        <v>交通便捷度</v>
      </c>
      <c r="R17" s="1726" t="s">
        <v>25</v>
      </c>
      <c r="S17" s="1727">
        <f>F17</f>
        <v>100</v>
      </c>
      <c r="T17" s="1726" t="s">
        <v>25</v>
      </c>
      <c r="U17" s="1727">
        <f>H17</f>
        <v>100</v>
      </c>
      <c r="V17" s="1726" t="s">
        <v>25</v>
      </c>
      <c r="W17" s="1727">
        <f>J17</f>
        <v>100</v>
      </c>
      <c r="X17" s="2075"/>
      <c r="Y17" s="3426"/>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24"/>
      <c r="Q18" s="2072"/>
      <c r="R18" s="1726"/>
      <c r="S18" s="1727"/>
      <c r="T18" s="1726"/>
      <c r="U18" s="1727"/>
      <c r="V18" s="1726"/>
      <c r="W18" s="1727"/>
      <c r="X18" s="2075"/>
      <c r="Y18" s="3426"/>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24"/>
      <c r="Q19" s="2072" t="str">
        <f>B19</f>
        <v>公共配套设施</v>
      </c>
      <c r="R19" s="1726" t="s">
        <v>25</v>
      </c>
      <c r="S19" s="1727">
        <f>F19</f>
        <v>100</v>
      </c>
      <c r="T19" s="1726" t="s">
        <v>25</v>
      </c>
      <c r="U19" s="1727">
        <f>H19</f>
        <v>100</v>
      </c>
      <c r="V19" s="1726" t="s">
        <v>25</v>
      </c>
      <c r="W19" s="1727">
        <f>J19</f>
        <v>100</v>
      </c>
      <c r="X19" s="2075"/>
      <c r="Y19" s="3426"/>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24"/>
      <c r="Q20" s="2072"/>
      <c r="R20" s="1726"/>
      <c r="S20" s="1727"/>
      <c r="T20" s="1726"/>
      <c r="U20" s="1727"/>
      <c r="V20" s="1726"/>
      <c r="W20" s="1727"/>
      <c r="X20" s="2075"/>
      <c r="Y20" s="3426"/>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24"/>
      <c r="Q21" s="2072" t="str">
        <f>B21</f>
        <v>基础设施水平</v>
      </c>
      <c r="R21" s="1726" t="s">
        <v>25</v>
      </c>
      <c r="S21" s="1727">
        <f>F21</f>
        <v>100</v>
      </c>
      <c r="T21" s="1726" t="s">
        <v>25</v>
      </c>
      <c r="U21" s="1727">
        <f>H21</f>
        <v>100</v>
      </c>
      <c r="V21" s="1726" t="s">
        <v>25</v>
      </c>
      <c r="W21" s="1727">
        <f>J21</f>
        <v>100</v>
      </c>
      <c r="X21" s="2075"/>
      <c r="Y21" s="3426"/>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24"/>
      <c r="Q22" s="2072"/>
      <c r="R22" s="1726"/>
      <c r="S22" s="1727"/>
      <c r="T22" s="1726"/>
      <c r="U22" s="1727"/>
      <c r="V22" s="1726"/>
      <c r="W22" s="1727"/>
      <c r="X22" s="2075"/>
      <c r="Y22" s="3426"/>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24"/>
      <c r="Q23" s="2072" t="str">
        <f>B23</f>
        <v>自然及人文环境</v>
      </c>
      <c r="R23" s="1726" t="s">
        <v>25</v>
      </c>
      <c r="S23" s="1727">
        <f>F23</f>
        <v>100</v>
      </c>
      <c r="T23" s="1726" t="s">
        <v>25</v>
      </c>
      <c r="U23" s="1727">
        <f>H23</f>
        <v>100</v>
      </c>
      <c r="V23" s="1726" t="s">
        <v>25</v>
      </c>
      <c r="W23" s="1727">
        <f>J23</f>
        <v>100</v>
      </c>
      <c r="X23" s="2075"/>
      <c r="Y23" s="3426"/>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24"/>
      <c r="Q24" s="2072"/>
      <c r="R24" s="1726"/>
      <c r="S24" s="1727"/>
      <c r="T24" s="1726"/>
      <c r="U24" s="1727"/>
      <c r="V24" s="1726"/>
      <c r="W24" s="1727"/>
      <c r="X24" s="2075"/>
      <c r="Y24" s="3426"/>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24"/>
      <c r="Q25" s="2072" t="str">
        <f t="shared" ref="Q25:Q46" si="11">B25</f>
        <v>临街状况</v>
      </c>
      <c r="R25" s="1726" t="s">
        <v>25</v>
      </c>
      <c r="S25" s="1727">
        <f>F25</f>
        <v>100</v>
      </c>
      <c r="T25" s="1726" t="s">
        <v>25</v>
      </c>
      <c r="U25" s="1727">
        <f>H25</f>
        <v>100</v>
      </c>
      <c r="V25" s="1726" t="s">
        <v>25</v>
      </c>
      <c r="W25" s="1727">
        <f>J25</f>
        <v>100</v>
      </c>
      <c r="X25" s="2075"/>
      <c r="Y25" s="3426"/>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24"/>
      <c r="Q26" s="2072" t="str">
        <f t="shared" si="11"/>
        <v>平面位置/可视性</v>
      </c>
      <c r="R26" s="1726" t="s">
        <v>25</v>
      </c>
      <c r="S26" s="1727">
        <f>F26</f>
        <v>100</v>
      </c>
      <c r="T26" s="1726" t="s">
        <v>25</v>
      </c>
      <c r="U26" s="1727">
        <f>H26</f>
        <v>100</v>
      </c>
      <c r="V26" s="1726" t="s">
        <v>25</v>
      </c>
      <c r="W26" s="1727">
        <f>J26</f>
        <v>100</v>
      </c>
      <c r="X26" s="2075"/>
      <c r="Y26" s="3426"/>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24"/>
      <c r="Q27" s="2066" t="str">
        <f t="shared" si="11"/>
        <v>人流量</v>
      </c>
      <c r="R27" s="1681" t="s">
        <v>25</v>
      </c>
      <c r="S27" s="1682">
        <f>F27</f>
        <v>100</v>
      </c>
      <c r="T27" s="1681" t="s">
        <v>25</v>
      </c>
      <c r="U27" s="1682">
        <f>H27</f>
        <v>100</v>
      </c>
      <c r="V27" s="1681" t="s">
        <v>25</v>
      </c>
      <c r="W27" s="1682">
        <f>J27</f>
        <v>100</v>
      </c>
      <c r="X27" s="1683"/>
      <c r="Y27" s="3426"/>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24"/>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6"/>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24"/>
      <c r="Q29" s="2072">
        <f t="shared" si="11"/>
        <v>111</v>
      </c>
      <c r="R29" s="1726" t="s">
        <v>25</v>
      </c>
      <c r="S29" s="1727">
        <f t="shared" si="12"/>
        <v>100</v>
      </c>
      <c r="T29" s="1726" t="s">
        <v>25</v>
      </c>
      <c r="U29" s="1727">
        <f t="shared" si="13"/>
        <v>100</v>
      </c>
      <c r="V29" s="1726" t="s">
        <v>25</v>
      </c>
      <c r="W29" s="1727">
        <f t="shared" si="14"/>
        <v>100</v>
      </c>
      <c r="X29" s="2075"/>
      <c r="Y29" s="3426"/>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24"/>
      <c r="Q30" s="2072">
        <f t="shared" si="11"/>
        <v>111</v>
      </c>
      <c r="R30" s="1726" t="s">
        <v>25</v>
      </c>
      <c r="S30" s="1727">
        <f t="shared" si="12"/>
        <v>100</v>
      </c>
      <c r="T30" s="1726" t="s">
        <v>25</v>
      </c>
      <c r="U30" s="1727">
        <f t="shared" si="13"/>
        <v>100</v>
      </c>
      <c r="V30" s="1726" t="s">
        <v>25</v>
      </c>
      <c r="W30" s="1727">
        <f t="shared" si="14"/>
        <v>100</v>
      </c>
      <c r="X30" s="2075"/>
      <c r="Y30" s="3426"/>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24"/>
      <c r="Q31" s="2072">
        <f t="shared" si="11"/>
        <v>111</v>
      </c>
      <c r="R31" s="1726" t="s">
        <v>25</v>
      </c>
      <c r="S31" s="1727">
        <f t="shared" si="12"/>
        <v>100</v>
      </c>
      <c r="T31" s="1726" t="s">
        <v>25</v>
      </c>
      <c r="U31" s="1727">
        <f t="shared" si="13"/>
        <v>100</v>
      </c>
      <c r="V31" s="1726" t="s">
        <v>25</v>
      </c>
      <c r="W31" s="1727">
        <f t="shared" si="14"/>
        <v>100</v>
      </c>
      <c r="X31" s="2075"/>
      <c r="Y31" s="3426"/>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27" t="s">
        <v>2284</v>
      </c>
      <c r="Q32" s="2072" t="str">
        <f t="shared" si="11"/>
        <v>商业类型</v>
      </c>
      <c r="R32" s="1726" t="s">
        <v>25</v>
      </c>
      <c r="S32" s="1727">
        <f t="shared" si="12"/>
        <v>100</v>
      </c>
      <c r="T32" s="1726" t="s">
        <v>25</v>
      </c>
      <c r="U32" s="1727">
        <f t="shared" si="13"/>
        <v>100</v>
      </c>
      <c r="V32" s="1726" t="s">
        <v>25</v>
      </c>
      <c r="W32" s="1727">
        <f t="shared" si="14"/>
        <v>100</v>
      </c>
      <c r="X32" s="2075"/>
      <c r="Y32" s="3430"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28"/>
      <c r="Q33" s="1767" t="str">
        <f t="shared" si="11"/>
        <v>项目建筑规模</v>
      </c>
      <c r="R33" s="1768" t="s">
        <v>25</v>
      </c>
      <c r="S33" s="1769" t="e">
        <f t="shared" si="12"/>
        <v>#N/A</v>
      </c>
      <c r="T33" s="1768" t="s">
        <v>25</v>
      </c>
      <c r="U33" s="1769" t="e">
        <f t="shared" si="13"/>
        <v>#N/A</v>
      </c>
      <c r="V33" s="1768" t="s">
        <v>25</v>
      </c>
      <c r="W33" s="1769" t="e">
        <f t="shared" si="14"/>
        <v>#N/A</v>
      </c>
      <c r="X33" s="1770"/>
      <c r="Y33" s="3430"/>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28"/>
      <c r="Q34" s="2072" t="str">
        <f t="shared" si="11"/>
        <v>建筑结构</v>
      </c>
      <c r="R34" s="1726" t="s">
        <v>25</v>
      </c>
      <c r="S34" s="1727">
        <f t="shared" si="12"/>
        <v>100</v>
      </c>
      <c r="T34" s="1726" t="s">
        <v>25</v>
      </c>
      <c r="U34" s="1727">
        <f t="shared" si="13"/>
        <v>100</v>
      </c>
      <c r="V34" s="1726" t="s">
        <v>25</v>
      </c>
      <c r="W34" s="1727">
        <f t="shared" si="14"/>
        <v>100</v>
      </c>
      <c r="X34" s="2075"/>
      <c r="Y34" s="3430"/>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28"/>
      <c r="Q35" s="2072" t="str">
        <f t="shared" si="11"/>
        <v>公共部分装修</v>
      </c>
      <c r="R35" s="1726" t="s">
        <v>25</v>
      </c>
      <c r="S35" s="1727">
        <f t="shared" si="12"/>
        <v>100</v>
      </c>
      <c r="T35" s="1726" t="s">
        <v>25</v>
      </c>
      <c r="U35" s="1727">
        <f t="shared" si="13"/>
        <v>100</v>
      </c>
      <c r="V35" s="1726" t="s">
        <v>25</v>
      </c>
      <c r="W35" s="1727">
        <f t="shared" si="14"/>
        <v>100</v>
      </c>
      <c r="X35" s="2075"/>
      <c r="Y35" s="3430"/>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28"/>
      <c r="Q36" s="2072" t="str">
        <f t="shared" si="11"/>
        <v>成新度</v>
      </c>
      <c r="R36" s="1726" t="s">
        <v>25</v>
      </c>
      <c r="S36" s="1727" t="e">
        <f t="shared" si="12"/>
        <v>#N/A</v>
      </c>
      <c r="T36" s="1726" t="s">
        <v>25</v>
      </c>
      <c r="U36" s="1727" t="e">
        <f t="shared" si="13"/>
        <v>#N/A</v>
      </c>
      <c r="V36" s="1726" t="s">
        <v>25</v>
      </c>
      <c r="W36" s="1727" t="e">
        <f t="shared" si="14"/>
        <v>#N/A</v>
      </c>
      <c r="X36" s="2075"/>
      <c r="Y36" s="3430"/>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28"/>
      <c r="Q37" s="2066" t="str">
        <f t="shared" si="11"/>
        <v>市政基础设施</v>
      </c>
      <c r="R37" s="1681" t="s">
        <v>25</v>
      </c>
      <c r="S37" s="1682">
        <f t="shared" si="12"/>
        <v>100</v>
      </c>
      <c r="T37" s="1681" t="s">
        <v>25</v>
      </c>
      <c r="U37" s="1682">
        <f t="shared" si="13"/>
        <v>100</v>
      </c>
      <c r="V37" s="1681" t="s">
        <v>25</v>
      </c>
      <c r="W37" s="1682">
        <f t="shared" si="14"/>
        <v>100</v>
      </c>
      <c r="X37" s="1683"/>
      <c r="Y37" s="3430"/>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28" t="s">
        <v>2284</v>
      </c>
      <c r="Q38" s="2072" t="str">
        <f t="shared" si="11"/>
        <v>业态</v>
      </c>
      <c r="R38" s="1726" t="s">
        <v>25</v>
      </c>
      <c r="S38" s="1727">
        <f t="shared" si="12"/>
        <v>100</v>
      </c>
      <c r="T38" s="1726" t="s">
        <v>25</v>
      </c>
      <c r="U38" s="1727">
        <f t="shared" si="13"/>
        <v>100</v>
      </c>
      <c r="V38" s="1726" t="s">
        <v>25</v>
      </c>
      <c r="W38" s="1727">
        <f t="shared" si="14"/>
        <v>100</v>
      </c>
      <c r="X38" s="2075"/>
      <c r="Y38" s="3430"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28"/>
      <c r="Q39" s="2072" t="str">
        <f t="shared" si="11"/>
        <v>层高</v>
      </c>
      <c r="R39" s="1726" t="s">
        <v>25</v>
      </c>
      <c r="S39" s="1727">
        <f t="shared" si="12"/>
        <v>100</v>
      </c>
      <c r="T39" s="1726" t="s">
        <v>25</v>
      </c>
      <c r="U39" s="1727">
        <f t="shared" si="13"/>
        <v>100</v>
      </c>
      <c r="V39" s="1726" t="s">
        <v>25</v>
      </c>
      <c r="W39" s="1727">
        <f t="shared" si="14"/>
        <v>100</v>
      </c>
      <c r="X39" s="2075"/>
      <c r="Y39" s="3430"/>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28"/>
      <c r="Q40" s="2072" t="str">
        <f t="shared" si="11"/>
        <v>单套建筑面积</v>
      </c>
      <c r="R40" s="1726" t="s">
        <v>25</v>
      </c>
      <c r="S40" s="1727">
        <f t="shared" si="12"/>
        <v>100</v>
      </c>
      <c r="T40" s="1726" t="s">
        <v>25</v>
      </c>
      <c r="U40" s="1727">
        <f t="shared" si="13"/>
        <v>100</v>
      </c>
      <c r="V40" s="1726" t="s">
        <v>25</v>
      </c>
      <c r="W40" s="1727">
        <f t="shared" si="14"/>
        <v>100</v>
      </c>
      <c r="X40" s="2075"/>
      <c r="Y40" s="3430"/>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28"/>
      <c r="Q41" s="1767" t="str">
        <f t="shared" si="11"/>
        <v>进深比</v>
      </c>
      <c r="R41" s="1768" t="s">
        <v>25</v>
      </c>
      <c r="S41" s="1769">
        <f t="shared" si="12"/>
        <v>100</v>
      </c>
      <c r="T41" s="1768" t="s">
        <v>25</v>
      </c>
      <c r="U41" s="1769">
        <f t="shared" si="13"/>
        <v>100</v>
      </c>
      <c r="V41" s="1768" t="s">
        <v>25</v>
      </c>
      <c r="W41" s="1769">
        <f t="shared" si="14"/>
        <v>100</v>
      </c>
      <c r="X41" s="1770"/>
      <c r="Y41" s="3430"/>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28"/>
      <c r="Q42" s="2072" t="str">
        <f t="shared" si="11"/>
        <v>内部装修</v>
      </c>
      <c r="R42" s="1726" t="s">
        <v>25</v>
      </c>
      <c r="S42" s="1727">
        <f t="shared" si="12"/>
        <v>100</v>
      </c>
      <c r="T42" s="1726" t="s">
        <v>25</v>
      </c>
      <c r="U42" s="1727">
        <f t="shared" si="13"/>
        <v>100</v>
      </c>
      <c r="V42" s="1726" t="s">
        <v>25</v>
      </c>
      <c r="W42" s="1727">
        <f t="shared" si="14"/>
        <v>100</v>
      </c>
      <c r="X42" s="2075"/>
      <c r="Y42" s="3430"/>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28"/>
      <c r="Q43" s="2072" t="str">
        <f t="shared" si="11"/>
        <v>内部装修维护情况</v>
      </c>
      <c r="R43" s="1726" t="s">
        <v>25</v>
      </c>
      <c r="S43" s="1727">
        <f t="shared" si="12"/>
        <v>100</v>
      </c>
      <c r="T43" s="1726" t="s">
        <v>25</v>
      </c>
      <c r="U43" s="1727">
        <f t="shared" si="13"/>
        <v>100</v>
      </c>
      <c r="V43" s="1726" t="s">
        <v>25</v>
      </c>
      <c r="W43" s="1727">
        <f t="shared" si="14"/>
        <v>100</v>
      </c>
      <c r="X43" s="2075"/>
      <c r="Y43" s="3430"/>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28"/>
      <c r="Q44" s="2066">
        <f t="shared" si="11"/>
        <v>111</v>
      </c>
      <c r="R44" s="1681" t="s">
        <v>25</v>
      </c>
      <c r="S44" s="1682">
        <f t="shared" si="12"/>
        <v>100</v>
      </c>
      <c r="T44" s="1681" t="s">
        <v>25</v>
      </c>
      <c r="U44" s="1682">
        <f t="shared" si="13"/>
        <v>100</v>
      </c>
      <c r="V44" s="1681" t="s">
        <v>25</v>
      </c>
      <c r="W44" s="1682">
        <f t="shared" si="14"/>
        <v>100</v>
      </c>
      <c r="X44" s="1683"/>
      <c r="Y44" s="343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28"/>
      <c r="Q45" s="2072">
        <f t="shared" si="11"/>
        <v>111</v>
      </c>
      <c r="R45" s="1726" t="s">
        <v>25</v>
      </c>
      <c r="S45" s="1727">
        <f t="shared" si="12"/>
        <v>100</v>
      </c>
      <c r="T45" s="1726" t="s">
        <v>25</v>
      </c>
      <c r="U45" s="1727">
        <f t="shared" si="13"/>
        <v>100</v>
      </c>
      <c r="V45" s="1726" t="s">
        <v>25</v>
      </c>
      <c r="W45" s="1727">
        <f t="shared" si="14"/>
        <v>100</v>
      </c>
      <c r="X45" s="2075"/>
      <c r="Y45" s="3430"/>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29"/>
      <c r="Q46" s="2072">
        <f t="shared" si="11"/>
        <v>111</v>
      </c>
      <c r="R46" s="1726" t="s">
        <v>25</v>
      </c>
      <c r="S46" s="1727">
        <f t="shared" si="12"/>
        <v>100</v>
      </c>
      <c r="T46" s="1726" t="s">
        <v>25</v>
      </c>
      <c r="U46" s="1727">
        <f t="shared" si="13"/>
        <v>100</v>
      </c>
      <c r="V46" s="1726" t="s">
        <v>25</v>
      </c>
      <c r="W46" s="1727">
        <f t="shared" si="14"/>
        <v>100</v>
      </c>
      <c r="X46" s="2075"/>
      <c r="Y46" s="3431"/>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22" t="str">
        <f>A47</f>
        <v>成交单价（元/平方米）</v>
      </c>
      <c r="Q47" s="3422"/>
      <c r="R47" s="3418">
        <f>E47</f>
        <v>0</v>
      </c>
      <c r="S47" s="3418"/>
      <c r="T47" s="3418">
        <f>G47</f>
        <v>0</v>
      </c>
      <c r="U47" s="3418"/>
      <c r="V47" s="3418">
        <f>I47</f>
        <v>0</v>
      </c>
      <c r="W47" s="3418"/>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4">
        <f>F48+H48+J48</f>
        <v>0</v>
      </c>
      <c r="L48" s="3006"/>
      <c r="N48" s="3001"/>
      <c r="P48" s="3422" t="str">
        <f>A48</f>
        <v>比较价值（元/平方米）</v>
      </c>
      <c r="Q48" s="3422"/>
      <c r="R48" s="3418" t="e">
        <f>IF(E1="售价",ROUND(PRODUCT(R47,AA7:AA46),0),ROUND(PRODUCT(R47,AA7:AA46),1))</f>
        <v>#DIV/0!</v>
      </c>
      <c r="S48" s="3418"/>
      <c r="T48" s="3418" t="e">
        <f>IF(E1="售价",ROUND(PRODUCT(T47,AB7:AB46),0),ROUND(PRODUCT(T47,AB7:AB46),1))</f>
        <v>#DIV/0!</v>
      </c>
      <c r="U48" s="3418"/>
      <c r="V48" s="3418" t="e">
        <f>IF(E1="售价",ROUND(PRODUCT(V47,AC7:AC46),0),ROUND(PRODUCT(V47,AC7:AC46),1))</f>
        <v>#DIV/0!</v>
      </c>
      <c r="W48" s="3418"/>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19" t="str">
        <f>A49</f>
        <v>估价对象XX用房的比较价值（楼面单价，元/平方米）</v>
      </c>
      <c r="Q49" s="3420"/>
      <c r="R49" s="3421" t="e">
        <f>IF(E1="售价",ROUND(IF(D48="简单平均",AVERAGE(R48:V48),R48*F48+T48*H48+V48*J48),0),ROUND(IF(D48="简单平均",AVERAGE(R48:V48),R48*F48+T48*H48+V48*J48),1))</f>
        <v>#DIV/0!</v>
      </c>
      <c r="S49" s="3421"/>
      <c r="T49" s="3421"/>
      <c r="U49" s="3421"/>
      <c r="V49" s="3421"/>
      <c r="W49" s="3421"/>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2020-5</v>
      </c>
      <c r="D58" s="1826">
        <f>EDATE(C58,-1)</f>
        <v>43922</v>
      </c>
      <c r="E58" s="1826">
        <f t="shared" ref="E58:O58" si="16">EDATE(D58,-1)</f>
        <v>43891</v>
      </c>
      <c r="F58" s="1826">
        <f t="shared" si="16"/>
        <v>43862</v>
      </c>
      <c r="G58" s="1826">
        <f t="shared" si="16"/>
        <v>43831</v>
      </c>
      <c r="H58" s="1826">
        <f t="shared" si="16"/>
        <v>43800</v>
      </c>
      <c r="I58" s="1826">
        <f t="shared" si="16"/>
        <v>43770</v>
      </c>
      <c r="J58" s="1826">
        <f t="shared" si="16"/>
        <v>43739</v>
      </c>
      <c r="K58" s="1826">
        <f t="shared" si="16"/>
        <v>43709</v>
      </c>
      <c r="L58" s="1826">
        <f t="shared" si="16"/>
        <v>43678</v>
      </c>
      <c r="M58" s="1826">
        <f t="shared" si="16"/>
        <v>43647</v>
      </c>
      <c r="N58" s="1826">
        <f t="shared" si="16"/>
        <v>43617</v>
      </c>
      <c r="O58" s="1826">
        <f t="shared" si="16"/>
        <v>43586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136.06</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49" t="s">
        <v>2254</v>
      </c>
      <c r="D4" s="3450"/>
      <c r="E4" s="3451" t="s">
        <v>2255</v>
      </c>
      <c r="F4" s="3452"/>
      <c r="G4" s="3449" t="s">
        <v>2256</v>
      </c>
      <c r="H4" s="3450"/>
      <c r="I4" s="3449" t="s">
        <v>2257</v>
      </c>
      <c r="J4" s="3450"/>
      <c r="K4" s="1966" t="s">
        <v>2258</v>
      </c>
      <c r="L4" s="3000"/>
      <c r="M4" s="3001"/>
      <c r="N4" s="3001"/>
      <c r="O4" s="3001"/>
      <c r="P4" s="3453" t="s">
        <v>2259</v>
      </c>
      <c r="Q4" s="3454"/>
      <c r="R4" s="3438" t="s">
        <v>2255</v>
      </c>
      <c r="S4" s="3439"/>
      <c r="T4" s="3438" t="s">
        <v>2256</v>
      </c>
      <c r="U4" s="3439"/>
      <c r="V4" s="3459" t="s">
        <v>2257</v>
      </c>
      <c r="W4" s="3459"/>
      <c r="X4" s="2075"/>
      <c r="Y4" s="3438" t="s">
        <v>2259</v>
      </c>
      <c r="Z4" s="3439"/>
      <c r="AA4" s="3446" t="s">
        <v>2255</v>
      </c>
      <c r="AB4" s="3446" t="s">
        <v>2256</v>
      </c>
      <c r="AC4" s="3446" t="s">
        <v>2257</v>
      </c>
    </row>
    <row r="5" spans="1:29" ht="15">
      <c r="A5" s="1668"/>
      <c r="B5" s="1669"/>
      <c r="C5" s="3434" t="s">
        <v>2260</v>
      </c>
      <c r="D5" s="3435"/>
      <c r="E5" s="3464" t="s">
        <v>2261</v>
      </c>
      <c r="F5" s="3461"/>
      <c r="G5" s="3434" t="s">
        <v>2262</v>
      </c>
      <c r="H5" s="3435"/>
      <c r="I5" s="3434" t="s">
        <v>2263</v>
      </c>
      <c r="J5" s="3435"/>
      <c r="K5" s="1966"/>
      <c r="L5" s="3000"/>
      <c r="M5" s="3001"/>
      <c r="N5" s="3001"/>
      <c r="O5" s="3001"/>
      <c r="P5" s="3455"/>
      <c r="Q5" s="3456"/>
      <c r="R5" s="3440"/>
      <c r="S5" s="3441"/>
      <c r="T5" s="3440"/>
      <c r="U5" s="3441"/>
      <c r="V5" s="3459"/>
      <c r="W5" s="3459"/>
      <c r="X5" s="2075"/>
      <c r="Y5" s="3440"/>
      <c r="Z5" s="3441"/>
      <c r="AA5" s="3447"/>
      <c r="AB5" s="3447"/>
      <c r="AC5" s="3447"/>
    </row>
    <row r="6" spans="1:29" ht="15.75" thickBot="1">
      <c r="A6" s="1671"/>
      <c r="B6" s="1672"/>
      <c r="C6" s="3432" t="s">
        <v>2264</v>
      </c>
      <c r="D6" s="3433"/>
      <c r="E6" s="3462" t="s">
        <v>2264</v>
      </c>
      <c r="F6" s="3463"/>
      <c r="G6" s="3432" t="s">
        <v>2264</v>
      </c>
      <c r="H6" s="3433"/>
      <c r="I6" s="3432" t="s">
        <v>2264</v>
      </c>
      <c r="J6" s="3433"/>
      <c r="K6" s="1966" t="s">
        <v>2265</v>
      </c>
      <c r="L6" s="3000"/>
      <c r="M6" s="3001"/>
      <c r="N6" s="3001"/>
      <c r="O6" s="3001"/>
      <c r="P6" s="3457"/>
      <c r="Q6" s="3458"/>
      <c r="R6" s="3440"/>
      <c r="S6" s="3441"/>
      <c r="T6" s="3442"/>
      <c r="U6" s="3443"/>
      <c r="V6" s="3459"/>
      <c r="W6" s="3459"/>
      <c r="X6" s="2075"/>
      <c r="Y6" s="3442"/>
      <c r="Z6" s="3443"/>
      <c r="AA6" s="3448"/>
      <c r="AB6" s="3448"/>
      <c r="AC6" s="3448"/>
    </row>
    <row r="7" spans="1:29" s="1685" customFormat="1" ht="15.75" thickBot="1">
      <c r="A7" s="1673" t="s">
        <v>2266</v>
      </c>
      <c r="B7" s="1674"/>
      <c r="C7" s="1675">
        <f>'数据-取费表'!B2</f>
        <v>43964</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36" t="s">
        <v>2267</v>
      </c>
      <c r="Q7" s="3444"/>
      <c r="R7" s="1681" t="s">
        <v>25</v>
      </c>
      <c r="S7" s="1682">
        <f t="shared" ref="S7:S15" si="0">F7</f>
        <v>0</v>
      </c>
      <c r="T7" s="1681" t="s">
        <v>25</v>
      </c>
      <c r="U7" s="1682">
        <f t="shared" ref="U7:U15" si="1">H7</f>
        <v>0</v>
      </c>
      <c r="V7" s="1681" t="s">
        <v>25</v>
      </c>
      <c r="W7" s="1682">
        <f t="shared" ref="W7:W15" si="2">J7</f>
        <v>0</v>
      </c>
      <c r="X7" s="1683"/>
      <c r="Y7" s="3436" t="s">
        <v>2267</v>
      </c>
      <c r="Z7" s="3437"/>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36" t="s">
        <v>2270</v>
      </c>
      <c r="Q8" s="3437"/>
      <c r="R8" s="1681" t="s">
        <v>25</v>
      </c>
      <c r="S8" s="1682">
        <f t="shared" si="0"/>
        <v>0</v>
      </c>
      <c r="T8" s="1681" t="s">
        <v>25</v>
      </c>
      <c r="U8" s="1682">
        <f t="shared" si="1"/>
        <v>0</v>
      </c>
      <c r="V8" s="1681" t="s">
        <v>25</v>
      </c>
      <c r="W8" s="1682">
        <f t="shared" si="2"/>
        <v>0</v>
      </c>
      <c r="X8" s="1683"/>
      <c r="Y8" s="3436" t="s">
        <v>2270</v>
      </c>
      <c r="Z8" s="3437"/>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22" t="s">
        <v>2273</v>
      </c>
      <c r="Q9" s="2918" t="str">
        <f t="shared" ref="Q9:Q15" si="6">B9</f>
        <v>用途</v>
      </c>
      <c r="R9" s="1681" t="s">
        <v>25</v>
      </c>
      <c r="S9" s="1682">
        <f t="shared" si="0"/>
        <v>100</v>
      </c>
      <c r="T9" s="1681" t="s">
        <v>25</v>
      </c>
      <c r="U9" s="1682">
        <f t="shared" si="1"/>
        <v>100</v>
      </c>
      <c r="V9" s="1681" t="s">
        <v>25</v>
      </c>
      <c r="W9" s="1682">
        <f t="shared" si="2"/>
        <v>100</v>
      </c>
      <c r="X9" s="1683"/>
      <c r="Y9" s="3280"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22"/>
      <c r="Q10" s="2918" t="str">
        <f t="shared" si="6"/>
        <v>土地使用年限（年）</v>
      </c>
      <c r="R10" s="1681" t="s">
        <v>25</v>
      </c>
      <c r="S10" s="1682">
        <f t="shared" si="0"/>
        <v>100</v>
      </c>
      <c r="T10" s="1681" t="s">
        <v>25</v>
      </c>
      <c r="U10" s="1682">
        <f t="shared" si="1"/>
        <v>100</v>
      </c>
      <c r="V10" s="1681" t="s">
        <v>25</v>
      </c>
      <c r="W10" s="1682">
        <f t="shared" si="2"/>
        <v>100</v>
      </c>
      <c r="X10" s="1683"/>
      <c r="Y10" s="3280"/>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22"/>
      <c r="Q11" s="2918" t="str">
        <f t="shared" si="6"/>
        <v>容积率</v>
      </c>
      <c r="R11" s="1681" t="s">
        <v>25</v>
      </c>
      <c r="S11" s="1682" t="e">
        <f t="shared" si="0"/>
        <v>#N/A</v>
      </c>
      <c r="T11" s="1681" t="s">
        <v>25</v>
      </c>
      <c r="U11" s="1682" t="e">
        <f t="shared" si="1"/>
        <v>#N/A</v>
      </c>
      <c r="V11" s="1681" t="s">
        <v>25</v>
      </c>
      <c r="W11" s="1682" t="e">
        <f t="shared" si="2"/>
        <v>#N/A</v>
      </c>
      <c r="X11" s="1683"/>
      <c r="Y11" s="328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22"/>
      <c r="Q12" s="2918">
        <f t="shared" si="6"/>
        <v>111</v>
      </c>
      <c r="R12" s="1681" t="s">
        <v>25</v>
      </c>
      <c r="S12" s="1682">
        <f t="shared" si="0"/>
        <v>100</v>
      </c>
      <c r="T12" s="1681" t="s">
        <v>25</v>
      </c>
      <c r="U12" s="1682">
        <f t="shared" si="1"/>
        <v>100</v>
      </c>
      <c r="V12" s="1681" t="s">
        <v>25</v>
      </c>
      <c r="W12" s="1682">
        <f t="shared" si="2"/>
        <v>100</v>
      </c>
      <c r="X12" s="1683"/>
      <c r="Y12" s="328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22"/>
      <c r="Q13" s="2918">
        <f t="shared" si="6"/>
        <v>111</v>
      </c>
      <c r="R13" s="1681" t="s">
        <v>25</v>
      </c>
      <c r="S13" s="1682">
        <f t="shared" si="0"/>
        <v>100</v>
      </c>
      <c r="T13" s="1681" t="s">
        <v>25</v>
      </c>
      <c r="U13" s="1682">
        <f t="shared" si="1"/>
        <v>100</v>
      </c>
      <c r="V13" s="1681" t="s">
        <v>25</v>
      </c>
      <c r="W13" s="1682">
        <f t="shared" si="2"/>
        <v>100</v>
      </c>
      <c r="X13" s="1683"/>
      <c r="Y13" s="3280"/>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22"/>
      <c r="Q14" s="2918">
        <f t="shared" si="6"/>
        <v>111</v>
      </c>
      <c r="R14" s="1681" t="s">
        <v>25</v>
      </c>
      <c r="S14" s="1682">
        <f t="shared" si="0"/>
        <v>100</v>
      </c>
      <c r="T14" s="1681" t="s">
        <v>25</v>
      </c>
      <c r="U14" s="1682">
        <f t="shared" si="1"/>
        <v>100</v>
      </c>
      <c r="V14" s="1681" t="s">
        <v>25</v>
      </c>
      <c r="W14" s="1682">
        <f t="shared" si="2"/>
        <v>100</v>
      </c>
      <c r="X14" s="1683"/>
      <c r="Y14" s="3280"/>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25" t="s">
        <v>2278</v>
      </c>
      <c r="Q15" s="2919" t="str">
        <f t="shared" si="6"/>
        <v>办公集聚程度</v>
      </c>
      <c r="R15" s="1726" t="s">
        <v>25</v>
      </c>
      <c r="S15" s="1727">
        <f t="shared" si="0"/>
        <v>100</v>
      </c>
      <c r="T15" s="1726" t="s">
        <v>25</v>
      </c>
      <c r="U15" s="1727">
        <f t="shared" si="1"/>
        <v>100</v>
      </c>
      <c r="V15" s="1726" t="s">
        <v>25</v>
      </c>
      <c r="W15" s="1727">
        <f t="shared" si="2"/>
        <v>100</v>
      </c>
      <c r="X15" s="2075"/>
      <c r="Y15" s="3425"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26"/>
      <c r="Q16" s="2919"/>
      <c r="R16" s="1726"/>
      <c r="S16" s="1727"/>
      <c r="T16" s="1726"/>
      <c r="U16" s="1727"/>
      <c r="V16" s="1726"/>
      <c r="W16" s="1727"/>
      <c r="X16" s="2075"/>
      <c r="Y16" s="3426"/>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26"/>
      <c r="Q17" s="2919" t="str">
        <f>B17</f>
        <v>交通便捷度</v>
      </c>
      <c r="R17" s="1726" t="s">
        <v>25</v>
      </c>
      <c r="S17" s="1727">
        <f>F17</f>
        <v>100</v>
      </c>
      <c r="T17" s="1726" t="s">
        <v>25</v>
      </c>
      <c r="U17" s="1727">
        <f>H17</f>
        <v>100</v>
      </c>
      <c r="V17" s="1726" t="s">
        <v>25</v>
      </c>
      <c r="W17" s="1727">
        <f>J17</f>
        <v>100</v>
      </c>
      <c r="X17" s="2075"/>
      <c r="Y17" s="3426"/>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26"/>
      <c r="Q18" s="2919"/>
      <c r="R18" s="1726"/>
      <c r="S18" s="1727"/>
      <c r="T18" s="1726"/>
      <c r="U18" s="1727"/>
      <c r="V18" s="1726"/>
      <c r="W18" s="1727"/>
      <c r="X18" s="2075"/>
      <c r="Y18" s="3426"/>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26"/>
      <c r="Q19" s="2919" t="str">
        <f>B19</f>
        <v>公共配套设施</v>
      </c>
      <c r="R19" s="1726" t="s">
        <v>25</v>
      </c>
      <c r="S19" s="1727">
        <f>F19</f>
        <v>100</v>
      </c>
      <c r="T19" s="1726" t="s">
        <v>25</v>
      </c>
      <c r="U19" s="1727">
        <f>H19</f>
        <v>100</v>
      </c>
      <c r="V19" s="1726" t="s">
        <v>25</v>
      </c>
      <c r="W19" s="1727">
        <f>J19</f>
        <v>100</v>
      </c>
      <c r="X19" s="2075"/>
      <c r="Y19" s="3426"/>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26"/>
      <c r="Q20" s="2919"/>
      <c r="R20" s="1726"/>
      <c r="S20" s="1727"/>
      <c r="T20" s="1726"/>
      <c r="U20" s="1727"/>
      <c r="V20" s="1726"/>
      <c r="W20" s="1727"/>
      <c r="X20" s="2075"/>
      <c r="Y20" s="3426"/>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26"/>
      <c r="Q21" s="2919" t="str">
        <f>B21</f>
        <v>基础设施水平</v>
      </c>
      <c r="R21" s="1726" t="s">
        <v>25</v>
      </c>
      <c r="S21" s="1727">
        <f>F21</f>
        <v>100</v>
      </c>
      <c r="T21" s="1726" t="s">
        <v>25</v>
      </c>
      <c r="U21" s="1727">
        <f>H21</f>
        <v>100</v>
      </c>
      <c r="V21" s="1726" t="s">
        <v>25</v>
      </c>
      <c r="W21" s="1727">
        <f>J21</f>
        <v>100</v>
      </c>
      <c r="X21" s="2075"/>
      <c r="Y21" s="3426"/>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26"/>
      <c r="Q22" s="2919"/>
      <c r="R22" s="1726"/>
      <c r="S22" s="1727"/>
      <c r="T22" s="1726"/>
      <c r="U22" s="1727"/>
      <c r="V22" s="1726"/>
      <c r="W22" s="1727"/>
      <c r="X22" s="2075"/>
      <c r="Y22" s="3426"/>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26"/>
      <c r="Q23" s="2919" t="str">
        <f>B23</f>
        <v>环境质量</v>
      </c>
      <c r="R23" s="1726" t="s">
        <v>25</v>
      </c>
      <c r="S23" s="1727">
        <f>F23</f>
        <v>100</v>
      </c>
      <c r="T23" s="1726" t="s">
        <v>25</v>
      </c>
      <c r="U23" s="1727">
        <f>H23</f>
        <v>100</v>
      </c>
      <c r="V23" s="1726" t="s">
        <v>25</v>
      </c>
      <c r="W23" s="1727">
        <f>J23</f>
        <v>100</v>
      </c>
      <c r="X23" s="2075"/>
      <c r="Y23" s="3426"/>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26"/>
      <c r="Q24" s="2919"/>
      <c r="R24" s="1726"/>
      <c r="S24" s="1727"/>
      <c r="T24" s="1726"/>
      <c r="U24" s="1727"/>
      <c r="V24" s="1726"/>
      <c r="W24" s="1727"/>
      <c r="X24" s="2075"/>
      <c r="Y24" s="3426"/>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26"/>
      <c r="Q25" s="2919" t="str">
        <f>B25</f>
        <v>毗邻道路的类型与等级</v>
      </c>
      <c r="R25" s="1726" t="s">
        <v>25</v>
      </c>
      <c r="S25" s="1727">
        <f>F25</f>
        <v>100</v>
      </c>
      <c r="T25" s="1726" t="s">
        <v>25</v>
      </c>
      <c r="U25" s="1727">
        <f>H25</f>
        <v>100</v>
      </c>
      <c r="V25" s="1726" t="s">
        <v>25</v>
      </c>
      <c r="W25" s="1727">
        <f>J25</f>
        <v>100</v>
      </c>
      <c r="X25" s="2075"/>
      <c r="Y25" s="3426"/>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26"/>
      <c r="Q26" s="2919"/>
      <c r="R26" s="1726"/>
      <c r="S26" s="1727"/>
      <c r="T26" s="1726"/>
      <c r="U26" s="1727"/>
      <c r="V26" s="1726"/>
      <c r="W26" s="1727"/>
      <c r="X26" s="2075"/>
      <c r="Y26" s="3426"/>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26"/>
      <c r="Q27" s="2919" t="str">
        <f t="shared" ref="Q27:Q47" si="11">B27</f>
        <v>楼层</v>
      </c>
      <c r="R27" s="1726" t="s">
        <v>25</v>
      </c>
      <c r="S27" s="1727">
        <f>F27</f>
        <v>100</v>
      </c>
      <c r="T27" s="1726" t="s">
        <v>25</v>
      </c>
      <c r="U27" s="1727">
        <f>H27</f>
        <v>100</v>
      </c>
      <c r="V27" s="1726" t="s">
        <v>25</v>
      </c>
      <c r="W27" s="1727">
        <f>J27</f>
        <v>100</v>
      </c>
      <c r="X27" s="2075"/>
      <c r="Y27" s="3426"/>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26"/>
      <c r="Q28" s="2918" t="str">
        <f t="shared" si="11"/>
        <v>朝向</v>
      </c>
      <c r="R28" s="1681" t="s">
        <v>25</v>
      </c>
      <c r="S28" s="1682">
        <f>F28</f>
        <v>100</v>
      </c>
      <c r="T28" s="1681" t="s">
        <v>25</v>
      </c>
      <c r="U28" s="1682">
        <f>H28</f>
        <v>100</v>
      </c>
      <c r="V28" s="1681" t="s">
        <v>25</v>
      </c>
      <c r="W28" s="1682">
        <f>J28</f>
        <v>100</v>
      </c>
      <c r="X28" s="1683"/>
      <c r="Y28" s="3426"/>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26"/>
      <c r="Q29" s="2919">
        <f t="shared" si="11"/>
        <v>111</v>
      </c>
      <c r="R29" s="1726" t="s">
        <v>25</v>
      </c>
      <c r="S29" s="1727">
        <f t="shared" ref="S29:S47" si="12">F29</f>
        <v>100</v>
      </c>
      <c r="T29" s="1726" t="s">
        <v>25</v>
      </c>
      <c r="U29" s="1727">
        <f t="shared" ref="U29:U47" si="13">H29</f>
        <v>100</v>
      </c>
      <c r="V29" s="1726" t="s">
        <v>25</v>
      </c>
      <c r="W29" s="1727">
        <f t="shared" ref="W29:W47" si="14">J29</f>
        <v>100</v>
      </c>
      <c r="X29" s="2075"/>
      <c r="Y29" s="3426"/>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26"/>
      <c r="Q30" s="2919">
        <f t="shared" si="11"/>
        <v>111</v>
      </c>
      <c r="R30" s="1726" t="s">
        <v>25</v>
      </c>
      <c r="S30" s="1727">
        <f t="shared" si="12"/>
        <v>100</v>
      </c>
      <c r="T30" s="1726" t="s">
        <v>25</v>
      </c>
      <c r="U30" s="1727">
        <f t="shared" si="13"/>
        <v>100</v>
      </c>
      <c r="V30" s="1726" t="s">
        <v>25</v>
      </c>
      <c r="W30" s="1727">
        <f t="shared" si="14"/>
        <v>100</v>
      </c>
      <c r="X30" s="2075"/>
      <c r="Y30" s="3426"/>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26"/>
      <c r="Q31" s="2919">
        <f t="shared" si="11"/>
        <v>111</v>
      </c>
      <c r="R31" s="1726" t="s">
        <v>25</v>
      </c>
      <c r="S31" s="1727">
        <f t="shared" si="12"/>
        <v>100</v>
      </c>
      <c r="T31" s="1726" t="s">
        <v>25</v>
      </c>
      <c r="U31" s="1727">
        <f t="shared" si="13"/>
        <v>100</v>
      </c>
      <c r="V31" s="1726" t="s">
        <v>25</v>
      </c>
      <c r="W31" s="1727">
        <f t="shared" si="14"/>
        <v>100</v>
      </c>
      <c r="X31" s="2075"/>
      <c r="Y31" s="3426"/>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26"/>
      <c r="Q32" s="2919">
        <f t="shared" si="11"/>
        <v>111</v>
      </c>
      <c r="R32" s="1726" t="s">
        <v>25</v>
      </c>
      <c r="S32" s="1727">
        <f t="shared" si="12"/>
        <v>100</v>
      </c>
      <c r="T32" s="1726" t="s">
        <v>25</v>
      </c>
      <c r="U32" s="1727">
        <f t="shared" si="13"/>
        <v>100</v>
      </c>
      <c r="V32" s="1726" t="s">
        <v>25</v>
      </c>
      <c r="W32" s="1727">
        <f t="shared" si="14"/>
        <v>100</v>
      </c>
      <c r="X32" s="2075"/>
      <c r="Y32" s="3426"/>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65" t="s">
        <v>2284</v>
      </c>
      <c r="Q33" s="2919" t="str">
        <f t="shared" si="11"/>
        <v>建筑类型</v>
      </c>
      <c r="R33" s="1726" t="s">
        <v>25</v>
      </c>
      <c r="S33" s="1727">
        <f t="shared" si="12"/>
        <v>100</v>
      </c>
      <c r="T33" s="1726" t="s">
        <v>25</v>
      </c>
      <c r="U33" s="1727">
        <f t="shared" si="13"/>
        <v>100</v>
      </c>
      <c r="V33" s="1726" t="s">
        <v>25</v>
      </c>
      <c r="W33" s="1727">
        <f t="shared" si="14"/>
        <v>100</v>
      </c>
      <c r="X33" s="2075"/>
      <c r="Y33" s="3430"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30"/>
      <c r="Q34" s="1767" t="str">
        <f t="shared" si="11"/>
        <v>项目建筑规模</v>
      </c>
      <c r="R34" s="1768" t="s">
        <v>25</v>
      </c>
      <c r="S34" s="1769" t="e">
        <f t="shared" si="12"/>
        <v>#N/A</v>
      </c>
      <c r="T34" s="1768" t="s">
        <v>25</v>
      </c>
      <c r="U34" s="1769" t="e">
        <f t="shared" si="13"/>
        <v>#N/A</v>
      </c>
      <c r="V34" s="1768" t="s">
        <v>25</v>
      </c>
      <c r="W34" s="1769" t="e">
        <f t="shared" si="14"/>
        <v>#N/A</v>
      </c>
      <c r="X34" s="1770"/>
      <c r="Y34" s="3430"/>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30"/>
      <c r="Q35" s="2919" t="str">
        <f t="shared" si="11"/>
        <v>建筑结构</v>
      </c>
      <c r="R35" s="1726" t="s">
        <v>25</v>
      </c>
      <c r="S35" s="1727">
        <f t="shared" si="12"/>
        <v>100</v>
      </c>
      <c r="T35" s="1726" t="s">
        <v>25</v>
      </c>
      <c r="U35" s="1727">
        <f t="shared" si="13"/>
        <v>100</v>
      </c>
      <c r="V35" s="1726" t="s">
        <v>25</v>
      </c>
      <c r="W35" s="1727">
        <f t="shared" si="14"/>
        <v>100</v>
      </c>
      <c r="X35" s="2075"/>
      <c r="Y35" s="3430"/>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30"/>
      <c r="Q36" s="2919" t="str">
        <f t="shared" si="11"/>
        <v>公共部分装修</v>
      </c>
      <c r="R36" s="1726" t="s">
        <v>25</v>
      </c>
      <c r="S36" s="1727">
        <f t="shared" si="12"/>
        <v>100</v>
      </c>
      <c r="T36" s="1726" t="s">
        <v>25</v>
      </c>
      <c r="U36" s="1727">
        <f t="shared" si="13"/>
        <v>100</v>
      </c>
      <c r="V36" s="1726" t="s">
        <v>25</v>
      </c>
      <c r="W36" s="1727">
        <f t="shared" si="14"/>
        <v>100</v>
      </c>
      <c r="X36" s="2075"/>
      <c r="Y36" s="3430"/>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30"/>
      <c r="Q37" s="2919" t="str">
        <f t="shared" si="11"/>
        <v>成新度</v>
      </c>
      <c r="R37" s="1726" t="s">
        <v>25</v>
      </c>
      <c r="S37" s="1727" t="e">
        <f t="shared" si="12"/>
        <v>#N/A</v>
      </c>
      <c r="T37" s="1726" t="s">
        <v>25</v>
      </c>
      <c r="U37" s="1727" t="e">
        <f t="shared" si="13"/>
        <v>#N/A</v>
      </c>
      <c r="V37" s="1726" t="s">
        <v>25</v>
      </c>
      <c r="W37" s="1727" t="e">
        <f t="shared" si="14"/>
        <v>#N/A</v>
      </c>
      <c r="X37" s="2075"/>
      <c r="Y37" s="3430"/>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30"/>
      <c r="Q38" s="2918" t="str">
        <f t="shared" si="11"/>
        <v>写字楼等级</v>
      </c>
      <c r="R38" s="1681" t="s">
        <v>25</v>
      </c>
      <c r="S38" s="1682">
        <f t="shared" si="12"/>
        <v>100</v>
      </c>
      <c r="T38" s="1681" t="s">
        <v>25</v>
      </c>
      <c r="U38" s="1682">
        <f t="shared" si="13"/>
        <v>100</v>
      </c>
      <c r="V38" s="1681" t="s">
        <v>25</v>
      </c>
      <c r="W38" s="1682">
        <f t="shared" si="14"/>
        <v>100</v>
      </c>
      <c r="X38" s="1683"/>
      <c r="Y38" s="3430"/>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30" t="s">
        <v>2284</v>
      </c>
      <c r="Q39" s="2919" t="str">
        <f t="shared" si="11"/>
        <v>物业管理</v>
      </c>
      <c r="R39" s="1726" t="s">
        <v>25</v>
      </c>
      <c r="S39" s="1727">
        <f t="shared" si="12"/>
        <v>100</v>
      </c>
      <c r="T39" s="1726" t="s">
        <v>25</v>
      </c>
      <c r="U39" s="1727">
        <f t="shared" si="13"/>
        <v>100</v>
      </c>
      <c r="V39" s="1726" t="s">
        <v>25</v>
      </c>
      <c r="W39" s="1727">
        <f t="shared" si="14"/>
        <v>100</v>
      </c>
      <c r="X39" s="2075"/>
      <c r="Y39" s="3430"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30"/>
      <c r="Q40" s="2919" t="str">
        <f t="shared" si="11"/>
        <v>市政基础设施</v>
      </c>
      <c r="R40" s="1726" t="s">
        <v>25</v>
      </c>
      <c r="S40" s="1727">
        <f t="shared" si="12"/>
        <v>100</v>
      </c>
      <c r="T40" s="1726" t="s">
        <v>25</v>
      </c>
      <c r="U40" s="1727">
        <f t="shared" si="13"/>
        <v>100</v>
      </c>
      <c r="V40" s="1726" t="s">
        <v>25</v>
      </c>
      <c r="W40" s="1727">
        <f t="shared" si="14"/>
        <v>100</v>
      </c>
      <c r="X40" s="2075"/>
      <c r="Y40" s="3430"/>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30"/>
      <c r="Q41" s="2919" t="str">
        <f t="shared" si="11"/>
        <v>层高</v>
      </c>
      <c r="R41" s="1726" t="s">
        <v>25</v>
      </c>
      <c r="S41" s="1727">
        <f t="shared" si="12"/>
        <v>100</v>
      </c>
      <c r="T41" s="1726" t="s">
        <v>25</v>
      </c>
      <c r="U41" s="1727">
        <f t="shared" si="13"/>
        <v>100</v>
      </c>
      <c r="V41" s="1726" t="s">
        <v>25</v>
      </c>
      <c r="W41" s="1727">
        <f t="shared" si="14"/>
        <v>100</v>
      </c>
      <c r="X41" s="2075"/>
      <c r="Y41" s="3430"/>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30"/>
      <c r="Q42" s="1767" t="str">
        <f t="shared" si="11"/>
        <v>单套建筑面积</v>
      </c>
      <c r="R42" s="1768" t="s">
        <v>25</v>
      </c>
      <c r="S42" s="1769">
        <f t="shared" si="12"/>
        <v>100</v>
      </c>
      <c r="T42" s="1768" t="s">
        <v>25</v>
      </c>
      <c r="U42" s="1769">
        <f t="shared" si="13"/>
        <v>100</v>
      </c>
      <c r="V42" s="1768" t="s">
        <v>25</v>
      </c>
      <c r="W42" s="1769">
        <f t="shared" si="14"/>
        <v>100</v>
      </c>
      <c r="X42" s="1770"/>
      <c r="Y42" s="3430"/>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30"/>
      <c r="Q43" s="2919" t="str">
        <f t="shared" si="11"/>
        <v>内部装修</v>
      </c>
      <c r="R43" s="1726" t="s">
        <v>25</v>
      </c>
      <c r="S43" s="1727">
        <f t="shared" si="12"/>
        <v>100</v>
      </c>
      <c r="T43" s="1726" t="s">
        <v>25</v>
      </c>
      <c r="U43" s="1727">
        <f t="shared" si="13"/>
        <v>100</v>
      </c>
      <c r="V43" s="1726" t="s">
        <v>25</v>
      </c>
      <c r="W43" s="1727">
        <f t="shared" si="14"/>
        <v>100</v>
      </c>
      <c r="X43" s="2075"/>
      <c r="Y43" s="3430"/>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30"/>
      <c r="Q44" s="2919" t="str">
        <f t="shared" si="11"/>
        <v>内部装修维护情况</v>
      </c>
      <c r="R44" s="1726" t="s">
        <v>25</v>
      </c>
      <c r="S44" s="1727">
        <f t="shared" si="12"/>
        <v>100</v>
      </c>
      <c r="T44" s="1726" t="s">
        <v>25</v>
      </c>
      <c r="U44" s="1727">
        <f t="shared" si="13"/>
        <v>100</v>
      </c>
      <c r="V44" s="1726" t="s">
        <v>25</v>
      </c>
      <c r="W44" s="1727">
        <f t="shared" si="14"/>
        <v>100</v>
      </c>
      <c r="X44" s="2075"/>
      <c r="Y44" s="343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30"/>
      <c r="Q45" s="2918">
        <f t="shared" si="11"/>
        <v>111</v>
      </c>
      <c r="R45" s="1681" t="s">
        <v>25</v>
      </c>
      <c r="S45" s="1682">
        <f t="shared" si="12"/>
        <v>100</v>
      </c>
      <c r="T45" s="1681" t="s">
        <v>25</v>
      </c>
      <c r="U45" s="1682">
        <f t="shared" si="13"/>
        <v>100</v>
      </c>
      <c r="V45" s="1681" t="s">
        <v>25</v>
      </c>
      <c r="W45" s="1682">
        <f t="shared" si="14"/>
        <v>100</v>
      </c>
      <c r="X45" s="1683"/>
      <c r="Y45" s="343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30"/>
      <c r="Q46" s="2919">
        <f t="shared" si="11"/>
        <v>111</v>
      </c>
      <c r="R46" s="1726" t="s">
        <v>25</v>
      </c>
      <c r="S46" s="1727">
        <f t="shared" si="12"/>
        <v>100</v>
      </c>
      <c r="T46" s="1726" t="s">
        <v>25</v>
      </c>
      <c r="U46" s="1727">
        <f t="shared" si="13"/>
        <v>100</v>
      </c>
      <c r="V46" s="1726" t="s">
        <v>25</v>
      </c>
      <c r="W46" s="1727">
        <f t="shared" si="14"/>
        <v>100</v>
      </c>
      <c r="X46" s="2075"/>
      <c r="Y46" s="343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31"/>
      <c r="Q47" s="2919">
        <f t="shared" si="11"/>
        <v>111</v>
      </c>
      <c r="R47" s="1726" t="s">
        <v>25</v>
      </c>
      <c r="S47" s="1727">
        <f t="shared" si="12"/>
        <v>100</v>
      </c>
      <c r="T47" s="1726" t="s">
        <v>25</v>
      </c>
      <c r="U47" s="1727">
        <f t="shared" si="13"/>
        <v>100</v>
      </c>
      <c r="V47" s="1726" t="s">
        <v>25</v>
      </c>
      <c r="W47" s="1727">
        <f t="shared" si="14"/>
        <v>100</v>
      </c>
      <c r="X47" s="2075"/>
      <c r="Y47" s="3431"/>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22" t="str">
        <f>A48</f>
        <v>成交单价（元/平方米）</v>
      </c>
      <c r="Q48" s="3422"/>
      <c r="R48" s="3418">
        <f>E48</f>
        <v>0</v>
      </c>
      <c r="S48" s="3418"/>
      <c r="T48" s="3418">
        <f>G48</f>
        <v>0</v>
      </c>
      <c r="U48" s="3418"/>
      <c r="V48" s="3418">
        <f>I48</f>
        <v>0</v>
      </c>
      <c r="W48" s="3418"/>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4">
        <f>F49+H49+J49</f>
        <v>0</v>
      </c>
      <c r="L49" s="3006"/>
      <c r="M49" s="3001"/>
      <c r="N49" s="3001"/>
      <c r="O49" s="3001"/>
      <c r="P49" s="3422" t="str">
        <f>A49</f>
        <v>比较价值（元/平方米）</v>
      </c>
      <c r="Q49" s="3422"/>
      <c r="R49" s="3418" t="e">
        <f>IF(E1="售价",ROUND(PRODUCT(R48,AA7:AA47),0),ROUND(PRODUCT(R48,AA7:AA47),1))</f>
        <v>#DIV/0!</v>
      </c>
      <c r="S49" s="3418"/>
      <c r="T49" s="3418" t="e">
        <f>IF(E1="售价",ROUND(PRODUCT(T48,AB7:AB47),0),ROUND(PRODUCT(T48,AB7:AB47),1))</f>
        <v>#DIV/0!</v>
      </c>
      <c r="U49" s="3418"/>
      <c r="V49" s="3418" t="e">
        <f>IF(E1="售价",ROUND(PRODUCT(V48,AC7:AC47),0),ROUND(PRODUCT(V48,AC7:AC47),1))</f>
        <v>#DIV/0!</v>
      </c>
      <c r="W49" s="3418"/>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19" t="str">
        <f>A50</f>
        <v>估价对象XX用房的比较价值（楼面单价，元/平方米）</v>
      </c>
      <c r="Q50" s="3420"/>
      <c r="R50" s="3421" t="e">
        <f>IF(E1="售价",ROUND(IF(D49="简单平均",AVERAGE(R49:V49),R49*F49+T49*H49+V49*J49),0),ROUND(IF(D49="简单平均",AVERAGE(R49:V49),R49*F49+T49*H49+V49*J49),1))</f>
        <v>#DIV/0!</v>
      </c>
      <c r="S50" s="3421"/>
      <c r="T50" s="3421"/>
      <c r="U50" s="3421"/>
      <c r="V50" s="3421"/>
      <c r="W50" s="3421"/>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2020-5</v>
      </c>
      <c r="D59" s="1826">
        <f>EDATE(C59,-1)</f>
        <v>43922</v>
      </c>
      <c r="E59" s="1826">
        <f t="shared" ref="E59:O59" si="16">EDATE(D59,-1)</f>
        <v>43891</v>
      </c>
      <c r="F59" s="1826">
        <f t="shared" si="16"/>
        <v>43862</v>
      </c>
      <c r="G59" s="1826">
        <f t="shared" si="16"/>
        <v>43831</v>
      </c>
      <c r="H59" s="1826">
        <f t="shared" si="16"/>
        <v>43800</v>
      </c>
      <c r="I59" s="1826">
        <f t="shared" si="16"/>
        <v>43770</v>
      </c>
      <c r="J59" s="1826">
        <f t="shared" si="16"/>
        <v>43739</v>
      </c>
      <c r="K59" s="1826">
        <f t="shared" si="16"/>
        <v>43709</v>
      </c>
      <c r="L59" s="1826">
        <f t="shared" si="16"/>
        <v>43678</v>
      </c>
      <c r="M59" s="1826">
        <f t="shared" si="16"/>
        <v>43647</v>
      </c>
      <c r="N59" s="1826">
        <f t="shared" si="16"/>
        <v>43617</v>
      </c>
      <c r="O59" s="1826">
        <f t="shared" si="16"/>
        <v>43586</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10" sqref="F1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136.06</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9" t="s">
        <v>2254</v>
      </c>
      <c r="D4" s="3490"/>
      <c r="E4" s="3491" t="s">
        <v>2255</v>
      </c>
      <c r="F4" s="3492"/>
      <c r="G4" s="3489" t="s">
        <v>2256</v>
      </c>
      <c r="H4" s="3490"/>
      <c r="I4" s="3489" t="s">
        <v>2257</v>
      </c>
      <c r="J4" s="3490"/>
      <c r="K4" s="496" t="s">
        <v>2258</v>
      </c>
      <c r="L4" s="3028"/>
      <c r="M4" s="3029"/>
      <c r="N4" s="3029"/>
      <c r="O4" s="3029"/>
      <c r="P4" s="3493" t="s">
        <v>2259</v>
      </c>
      <c r="Q4" s="3494"/>
      <c r="R4" s="3476" t="s">
        <v>2255</v>
      </c>
      <c r="S4" s="3477"/>
      <c r="T4" s="3476" t="s">
        <v>2256</v>
      </c>
      <c r="U4" s="3477"/>
      <c r="V4" s="3499" t="s">
        <v>2257</v>
      </c>
      <c r="W4" s="3499"/>
      <c r="X4" s="1335"/>
      <c r="Y4" s="3476" t="s">
        <v>2259</v>
      </c>
      <c r="Z4" s="3477"/>
      <c r="AA4" s="3486" t="s">
        <v>2255</v>
      </c>
      <c r="AB4" s="3487" t="s">
        <v>2256</v>
      </c>
      <c r="AC4" s="3486" t="s">
        <v>2257</v>
      </c>
    </row>
    <row r="5" spans="1:29" ht="15">
      <c r="A5" s="297"/>
      <c r="B5" s="298"/>
      <c r="C5" s="3502" t="s">
        <v>2260</v>
      </c>
      <c r="D5" s="3503"/>
      <c r="E5" s="3500" t="s">
        <v>2261</v>
      </c>
      <c r="F5" s="3501"/>
      <c r="G5" s="3502" t="s">
        <v>2262</v>
      </c>
      <c r="H5" s="3503"/>
      <c r="I5" s="3502" t="s">
        <v>2263</v>
      </c>
      <c r="J5" s="3503"/>
      <c r="K5" s="496"/>
      <c r="L5" s="3028"/>
      <c r="M5" s="3029"/>
      <c r="N5" s="3029"/>
      <c r="O5" s="3029"/>
      <c r="P5" s="3495"/>
      <c r="Q5" s="3496"/>
      <c r="R5" s="3478"/>
      <c r="S5" s="3479"/>
      <c r="T5" s="3478"/>
      <c r="U5" s="3479"/>
      <c r="V5" s="3499"/>
      <c r="W5" s="3499"/>
      <c r="X5" s="1335"/>
      <c r="Y5" s="3478"/>
      <c r="Z5" s="3479"/>
      <c r="AA5" s="3487"/>
      <c r="AB5" s="3487"/>
      <c r="AC5" s="3487"/>
    </row>
    <row r="6" spans="1:29" ht="15.75" thickBot="1">
      <c r="A6" s="299"/>
      <c r="B6" s="300"/>
      <c r="C6" s="3504" t="s">
        <v>2264</v>
      </c>
      <c r="D6" s="3505"/>
      <c r="E6" s="3506" t="s">
        <v>2264</v>
      </c>
      <c r="F6" s="3507"/>
      <c r="G6" s="3504" t="s">
        <v>2264</v>
      </c>
      <c r="H6" s="3505"/>
      <c r="I6" s="3504" t="s">
        <v>2264</v>
      </c>
      <c r="J6" s="3505"/>
      <c r="K6" s="496" t="s">
        <v>2265</v>
      </c>
      <c r="L6" s="3028"/>
      <c r="M6" s="3029"/>
      <c r="N6" s="3029"/>
      <c r="O6" s="3029"/>
      <c r="P6" s="3497"/>
      <c r="Q6" s="3498"/>
      <c r="R6" s="3478"/>
      <c r="S6" s="3479"/>
      <c r="T6" s="3480"/>
      <c r="U6" s="3481"/>
      <c r="V6" s="3499"/>
      <c r="W6" s="3499"/>
      <c r="X6" s="1335"/>
      <c r="Y6" s="3480"/>
      <c r="Z6" s="3481"/>
      <c r="AA6" s="3488"/>
      <c r="AB6" s="3488"/>
      <c r="AC6" s="3488"/>
    </row>
    <row r="7" spans="1:29" s="25" customFormat="1" ht="15.75" thickBot="1">
      <c r="A7" s="301" t="s">
        <v>2266</v>
      </c>
      <c r="B7" s="302"/>
      <c r="C7" s="303">
        <f>'数据-取费表'!B2</f>
        <v>43964</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74" t="s">
        <v>2267</v>
      </c>
      <c r="Q7" s="3482"/>
      <c r="R7" s="627" t="s">
        <v>25</v>
      </c>
      <c r="S7" s="628">
        <f t="shared" ref="S7:S15" si="0">F7</f>
        <v>0</v>
      </c>
      <c r="T7" s="627" t="s">
        <v>25</v>
      </c>
      <c r="U7" s="628">
        <f t="shared" ref="U7:U15" si="1">H7</f>
        <v>0</v>
      </c>
      <c r="V7" s="627" t="s">
        <v>25</v>
      </c>
      <c r="W7" s="628">
        <f t="shared" ref="W7:W15" si="2">J7</f>
        <v>0</v>
      </c>
      <c r="X7" s="629"/>
      <c r="Y7" s="3474" t="s">
        <v>2267</v>
      </c>
      <c r="Z7" s="3475"/>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74" t="s">
        <v>2270</v>
      </c>
      <c r="Q8" s="3475"/>
      <c r="R8" s="627" t="s">
        <v>25</v>
      </c>
      <c r="S8" s="628">
        <f t="shared" si="0"/>
        <v>0</v>
      </c>
      <c r="T8" s="627" t="s">
        <v>25</v>
      </c>
      <c r="U8" s="628">
        <f t="shared" si="1"/>
        <v>0</v>
      </c>
      <c r="V8" s="627" t="s">
        <v>25</v>
      </c>
      <c r="W8" s="628">
        <f t="shared" si="2"/>
        <v>0</v>
      </c>
      <c r="X8" s="629"/>
      <c r="Y8" s="3474" t="s">
        <v>2270</v>
      </c>
      <c r="Z8" s="3475"/>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66" t="s">
        <v>2273</v>
      </c>
      <c r="Q9" s="1327" t="str">
        <f t="shared" ref="Q9:Q15" si="6">B9</f>
        <v>用途</v>
      </c>
      <c r="R9" s="627" t="s">
        <v>25</v>
      </c>
      <c r="S9" s="628">
        <f t="shared" si="0"/>
        <v>100</v>
      </c>
      <c r="T9" s="627" t="s">
        <v>25</v>
      </c>
      <c r="U9" s="628">
        <f t="shared" si="1"/>
        <v>100</v>
      </c>
      <c r="V9" s="627" t="s">
        <v>25</v>
      </c>
      <c r="W9" s="628">
        <f t="shared" si="2"/>
        <v>100</v>
      </c>
      <c r="X9" s="629"/>
      <c r="Y9" s="348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66"/>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66"/>
      <c r="Q11" s="1327" t="str">
        <f t="shared" si="6"/>
        <v>容积率</v>
      </c>
      <c r="R11" s="627" t="s">
        <v>25</v>
      </c>
      <c r="S11" s="628" t="e">
        <f t="shared" si="0"/>
        <v>#N/A</v>
      </c>
      <c r="T11" s="627" t="s">
        <v>25</v>
      </c>
      <c r="U11" s="628" t="e">
        <f t="shared" si="1"/>
        <v>#N/A</v>
      </c>
      <c r="V11" s="627" t="s">
        <v>25</v>
      </c>
      <c r="W11" s="628" t="e">
        <f t="shared" si="2"/>
        <v>#N/A</v>
      </c>
      <c r="X11" s="629"/>
      <c r="Y11" s="348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66"/>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66"/>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66"/>
      <c r="Q14" s="1327">
        <f t="shared" si="6"/>
        <v>111</v>
      </c>
      <c r="R14" s="627" t="s">
        <v>25</v>
      </c>
      <c r="S14" s="628">
        <f t="shared" si="0"/>
        <v>100</v>
      </c>
      <c r="T14" s="627" t="s">
        <v>25</v>
      </c>
      <c r="U14" s="628">
        <f t="shared" si="1"/>
        <v>100</v>
      </c>
      <c r="V14" s="627" t="s">
        <v>25</v>
      </c>
      <c r="W14" s="628">
        <f t="shared" si="2"/>
        <v>100</v>
      </c>
      <c r="X14" s="629"/>
      <c r="Y14" s="348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483" t="s">
        <v>2278</v>
      </c>
      <c r="Q15" s="1334" t="str">
        <f t="shared" si="6"/>
        <v>产业集聚程度</v>
      </c>
      <c r="R15" s="631" t="s">
        <v>25</v>
      </c>
      <c r="S15" s="632">
        <f t="shared" si="0"/>
        <v>100</v>
      </c>
      <c r="T15" s="631" t="s">
        <v>25</v>
      </c>
      <c r="U15" s="632">
        <f t="shared" si="1"/>
        <v>100</v>
      </c>
      <c r="V15" s="631" t="s">
        <v>25</v>
      </c>
      <c r="W15" s="632">
        <f t="shared" si="2"/>
        <v>100</v>
      </c>
      <c r="X15" s="1335"/>
      <c r="Y15" s="348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484"/>
      <c r="Q16" s="1334"/>
      <c r="R16" s="631"/>
      <c r="S16" s="632"/>
      <c r="T16" s="631"/>
      <c r="U16" s="632"/>
      <c r="V16" s="631"/>
      <c r="W16" s="632"/>
      <c r="X16" s="1335"/>
      <c r="Y16" s="348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484"/>
      <c r="Q17" s="1334" t="str">
        <f>B17</f>
        <v>交通便捷度</v>
      </c>
      <c r="R17" s="631" t="s">
        <v>25</v>
      </c>
      <c r="S17" s="632">
        <f>F17</f>
        <v>100</v>
      </c>
      <c r="T17" s="631" t="s">
        <v>25</v>
      </c>
      <c r="U17" s="632">
        <f>H17</f>
        <v>100</v>
      </c>
      <c r="V17" s="631" t="s">
        <v>25</v>
      </c>
      <c r="W17" s="632">
        <f>J17</f>
        <v>100</v>
      </c>
      <c r="X17" s="1335"/>
      <c r="Y17" s="348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484"/>
      <c r="Q18" s="1334"/>
      <c r="R18" s="631"/>
      <c r="S18" s="632"/>
      <c r="T18" s="631"/>
      <c r="U18" s="632"/>
      <c r="V18" s="631"/>
      <c r="W18" s="632"/>
      <c r="X18" s="1335"/>
      <c r="Y18" s="348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484"/>
      <c r="Q19" s="1334" t="str">
        <f>B19</f>
        <v>公共配套设施</v>
      </c>
      <c r="R19" s="631" t="s">
        <v>25</v>
      </c>
      <c r="S19" s="632">
        <f>F19</f>
        <v>100</v>
      </c>
      <c r="T19" s="631" t="s">
        <v>25</v>
      </c>
      <c r="U19" s="632">
        <f>H19</f>
        <v>100</v>
      </c>
      <c r="V19" s="631" t="s">
        <v>25</v>
      </c>
      <c r="W19" s="632">
        <f>J19</f>
        <v>100</v>
      </c>
      <c r="X19" s="1335"/>
      <c r="Y19" s="348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484"/>
      <c r="Q20" s="1334"/>
      <c r="R20" s="631"/>
      <c r="S20" s="632"/>
      <c r="T20" s="631"/>
      <c r="U20" s="632"/>
      <c r="V20" s="631"/>
      <c r="W20" s="632"/>
      <c r="X20" s="1335"/>
      <c r="Y20" s="348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484"/>
      <c r="Q21" s="1334" t="str">
        <f>B21</f>
        <v>基础设施水平</v>
      </c>
      <c r="R21" s="631" t="s">
        <v>25</v>
      </c>
      <c r="S21" s="632">
        <f>F21</f>
        <v>100</v>
      </c>
      <c r="T21" s="631" t="s">
        <v>25</v>
      </c>
      <c r="U21" s="632">
        <f>H21</f>
        <v>100</v>
      </c>
      <c r="V21" s="631" t="s">
        <v>25</v>
      </c>
      <c r="W21" s="632">
        <f>J21</f>
        <v>100</v>
      </c>
      <c r="X21" s="1335"/>
      <c r="Y21" s="348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484"/>
      <c r="Q22" s="1334"/>
      <c r="R22" s="631"/>
      <c r="S22" s="632"/>
      <c r="T22" s="631"/>
      <c r="U22" s="632"/>
      <c r="V22" s="631"/>
      <c r="W22" s="632"/>
      <c r="X22" s="1335"/>
      <c r="Y22" s="348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484"/>
      <c r="Q23" s="1334" t="str">
        <f>B23</f>
        <v>环境质量</v>
      </c>
      <c r="R23" s="631" t="s">
        <v>25</v>
      </c>
      <c r="S23" s="632">
        <f>F23</f>
        <v>100</v>
      </c>
      <c r="T23" s="631" t="s">
        <v>25</v>
      </c>
      <c r="U23" s="632">
        <f>H23</f>
        <v>100</v>
      </c>
      <c r="V23" s="631" t="s">
        <v>25</v>
      </c>
      <c r="W23" s="632">
        <f>J23</f>
        <v>100</v>
      </c>
      <c r="X23" s="1335"/>
      <c r="Y23" s="348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484"/>
      <c r="Q24" s="1334"/>
      <c r="R24" s="631"/>
      <c r="S24" s="632"/>
      <c r="T24" s="631"/>
      <c r="U24" s="632"/>
      <c r="V24" s="631"/>
      <c r="W24" s="632"/>
      <c r="X24" s="1335"/>
      <c r="Y24" s="348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484"/>
      <c r="Q25" s="1334">
        <f>B25</f>
        <v>111</v>
      </c>
      <c r="R25" s="631" t="s">
        <v>25</v>
      </c>
      <c r="S25" s="632">
        <f>F25</f>
        <v>100</v>
      </c>
      <c r="T25" s="631" t="s">
        <v>25</v>
      </c>
      <c r="U25" s="632">
        <f>H25</f>
        <v>100</v>
      </c>
      <c r="V25" s="631" t="s">
        <v>25</v>
      </c>
      <c r="W25" s="632">
        <f>J25</f>
        <v>100</v>
      </c>
      <c r="X25" s="1335"/>
      <c r="Y25" s="348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484"/>
      <c r="Q26" s="1334">
        <f t="shared" ref="Q26:Q40" si="11">B26</f>
        <v>111</v>
      </c>
      <c r="R26" s="631" t="s">
        <v>25</v>
      </c>
      <c r="S26" s="632">
        <f>F26</f>
        <v>100</v>
      </c>
      <c r="T26" s="631" t="s">
        <v>25</v>
      </c>
      <c r="U26" s="632">
        <f>H26</f>
        <v>100</v>
      </c>
      <c r="V26" s="631" t="s">
        <v>25</v>
      </c>
      <c r="W26" s="632">
        <f>J26</f>
        <v>100</v>
      </c>
      <c r="X26" s="1335"/>
      <c r="Y26" s="348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484"/>
      <c r="Q27" s="1327">
        <f t="shared" si="11"/>
        <v>111</v>
      </c>
      <c r="R27" s="627" t="s">
        <v>25</v>
      </c>
      <c r="S27" s="628">
        <f>F27</f>
        <v>100</v>
      </c>
      <c r="T27" s="627" t="s">
        <v>25</v>
      </c>
      <c r="U27" s="628">
        <f>H27</f>
        <v>100</v>
      </c>
      <c r="V27" s="627" t="s">
        <v>25</v>
      </c>
      <c r="W27" s="628">
        <f>J27</f>
        <v>100</v>
      </c>
      <c r="X27" s="629"/>
      <c r="Y27" s="348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484"/>
      <c r="Q28" s="1334">
        <f t="shared" si="11"/>
        <v>111</v>
      </c>
      <c r="R28" s="631" t="s">
        <v>25</v>
      </c>
      <c r="S28" s="632">
        <f t="shared" ref="S28:S40" si="12">F28</f>
        <v>100</v>
      </c>
      <c r="T28" s="631" t="s">
        <v>25</v>
      </c>
      <c r="U28" s="632">
        <f t="shared" ref="U28:U40" si="13">H28</f>
        <v>100</v>
      </c>
      <c r="V28" s="631" t="s">
        <v>25</v>
      </c>
      <c r="W28" s="632">
        <f t="shared" ref="W28:W40" si="14">J28</f>
        <v>100</v>
      </c>
      <c r="X28" s="1335"/>
      <c r="Y28" s="3484"/>
      <c r="Z28" s="1336">
        <f t="shared" ref="Z28:Z40" si="15">Q28</f>
        <v>111</v>
      </c>
      <c r="AA28" s="1337">
        <f t="shared" si="3"/>
        <v>1</v>
      </c>
      <c r="AB28" s="1337">
        <f t="shared" si="4"/>
        <v>1</v>
      </c>
      <c r="AC28" s="1337">
        <f t="shared" si="5"/>
        <v>1</v>
      </c>
    </row>
    <row r="29" spans="1:29" ht="29.2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471" t="s">
        <v>2284</v>
      </c>
      <c r="Q29" s="1334" t="str">
        <f t="shared" si="11"/>
        <v>建筑类型</v>
      </c>
      <c r="R29" s="631" t="s">
        <v>25</v>
      </c>
      <c r="S29" s="632">
        <f t="shared" si="12"/>
        <v>100</v>
      </c>
      <c r="T29" s="631" t="s">
        <v>25</v>
      </c>
      <c r="U29" s="632">
        <f t="shared" si="13"/>
        <v>100</v>
      </c>
      <c r="V29" s="631" t="s">
        <v>25</v>
      </c>
      <c r="W29" s="632">
        <f t="shared" si="14"/>
        <v>100</v>
      </c>
      <c r="X29" s="1335"/>
      <c r="Y29" s="3472"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472"/>
      <c r="Q30" s="633" t="str">
        <f t="shared" si="11"/>
        <v>项目建筑规模</v>
      </c>
      <c r="R30" s="634" t="s">
        <v>25</v>
      </c>
      <c r="S30" s="635" t="e">
        <f t="shared" si="12"/>
        <v>#N/A</v>
      </c>
      <c r="T30" s="634" t="s">
        <v>25</v>
      </c>
      <c r="U30" s="635" t="e">
        <f t="shared" si="13"/>
        <v>#N/A</v>
      </c>
      <c r="V30" s="634" t="s">
        <v>25</v>
      </c>
      <c r="W30" s="635" t="e">
        <f t="shared" si="14"/>
        <v>#N/A</v>
      </c>
      <c r="X30" s="636"/>
      <c r="Y30" s="3472"/>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472"/>
      <c r="Q31" s="1334" t="str">
        <f t="shared" si="11"/>
        <v>建筑结构</v>
      </c>
      <c r="R31" s="631" t="s">
        <v>25</v>
      </c>
      <c r="S31" s="632">
        <f t="shared" si="12"/>
        <v>100</v>
      </c>
      <c r="T31" s="631" t="s">
        <v>25</v>
      </c>
      <c r="U31" s="632">
        <f t="shared" si="13"/>
        <v>100</v>
      </c>
      <c r="V31" s="631" t="s">
        <v>25</v>
      </c>
      <c r="W31" s="632">
        <f t="shared" si="14"/>
        <v>100</v>
      </c>
      <c r="X31" s="1335"/>
      <c r="Y31" s="3472"/>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472"/>
      <c r="Q32" s="1334" t="str">
        <f t="shared" si="11"/>
        <v>公共部分装修</v>
      </c>
      <c r="R32" s="631" t="s">
        <v>25</v>
      </c>
      <c r="S32" s="632">
        <f t="shared" si="12"/>
        <v>100</v>
      </c>
      <c r="T32" s="631" t="s">
        <v>25</v>
      </c>
      <c r="U32" s="632">
        <f t="shared" si="13"/>
        <v>100</v>
      </c>
      <c r="V32" s="631" t="s">
        <v>25</v>
      </c>
      <c r="W32" s="632">
        <f t="shared" si="14"/>
        <v>100</v>
      </c>
      <c r="X32" s="1335"/>
      <c r="Y32" s="3472"/>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472"/>
      <c r="Q33" s="1334" t="str">
        <f t="shared" si="11"/>
        <v>成新度</v>
      </c>
      <c r="R33" s="631" t="s">
        <v>25</v>
      </c>
      <c r="S33" s="632" t="e">
        <f t="shared" si="12"/>
        <v>#N/A</v>
      </c>
      <c r="T33" s="631" t="s">
        <v>25</v>
      </c>
      <c r="U33" s="632" t="e">
        <f t="shared" si="13"/>
        <v>#N/A</v>
      </c>
      <c r="V33" s="631" t="s">
        <v>25</v>
      </c>
      <c r="W33" s="632" t="e">
        <f t="shared" si="14"/>
        <v>#N/A</v>
      </c>
      <c r="X33" s="1335"/>
      <c r="Y33" s="3472"/>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472"/>
      <c r="Q34" s="1327" t="str">
        <f t="shared" si="11"/>
        <v>物业管理</v>
      </c>
      <c r="R34" s="627" t="s">
        <v>25</v>
      </c>
      <c r="S34" s="628">
        <f t="shared" si="12"/>
        <v>100</v>
      </c>
      <c r="T34" s="627" t="s">
        <v>25</v>
      </c>
      <c r="U34" s="628">
        <f t="shared" si="13"/>
        <v>100</v>
      </c>
      <c r="V34" s="627" t="s">
        <v>25</v>
      </c>
      <c r="W34" s="628">
        <f t="shared" si="14"/>
        <v>100</v>
      </c>
      <c r="X34" s="629"/>
      <c r="Y34" s="3472"/>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472" t="s">
        <v>2284</v>
      </c>
      <c r="Q35" s="1334" t="str">
        <f t="shared" si="11"/>
        <v>市政基础设施</v>
      </c>
      <c r="R35" s="631" t="s">
        <v>25</v>
      </c>
      <c r="S35" s="632">
        <f t="shared" si="12"/>
        <v>100</v>
      </c>
      <c r="T35" s="631" t="s">
        <v>25</v>
      </c>
      <c r="U35" s="632">
        <f t="shared" si="13"/>
        <v>100</v>
      </c>
      <c r="V35" s="631" t="s">
        <v>25</v>
      </c>
      <c r="W35" s="632">
        <f t="shared" si="14"/>
        <v>100</v>
      </c>
      <c r="X35" s="1335"/>
      <c r="Y35" s="3472"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472"/>
      <c r="Q36" s="1334" t="str">
        <f t="shared" si="11"/>
        <v>内部装修</v>
      </c>
      <c r="R36" s="631" t="s">
        <v>25</v>
      </c>
      <c r="S36" s="632">
        <f t="shared" si="12"/>
        <v>100</v>
      </c>
      <c r="T36" s="631" t="s">
        <v>25</v>
      </c>
      <c r="U36" s="632">
        <f t="shared" si="13"/>
        <v>100</v>
      </c>
      <c r="V36" s="631" t="s">
        <v>25</v>
      </c>
      <c r="W36" s="632">
        <f t="shared" si="14"/>
        <v>100</v>
      </c>
      <c r="X36" s="1335"/>
      <c r="Y36" s="3472"/>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472"/>
      <c r="Q37" s="1334" t="str">
        <f t="shared" si="11"/>
        <v>内部装修状况</v>
      </c>
      <c r="R37" s="631" t="s">
        <v>25</v>
      </c>
      <c r="S37" s="632">
        <f t="shared" si="12"/>
        <v>100</v>
      </c>
      <c r="T37" s="631" t="s">
        <v>25</v>
      </c>
      <c r="U37" s="632">
        <f t="shared" si="13"/>
        <v>100</v>
      </c>
      <c r="V37" s="631" t="s">
        <v>25</v>
      </c>
      <c r="W37" s="632">
        <f t="shared" si="14"/>
        <v>100</v>
      </c>
      <c r="X37" s="1335"/>
      <c r="Y37" s="347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472"/>
      <c r="Q38" s="633">
        <f t="shared" si="11"/>
        <v>111</v>
      </c>
      <c r="R38" s="634" t="s">
        <v>25</v>
      </c>
      <c r="S38" s="635">
        <f t="shared" si="12"/>
        <v>100</v>
      </c>
      <c r="T38" s="634" t="s">
        <v>25</v>
      </c>
      <c r="U38" s="635">
        <f t="shared" si="13"/>
        <v>100</v>
      </c>
      <c r="V38" s="634" t="s">
        <v>25</v>
      </c>
      <c r="W38" s="635">
        <f t="shared" si="14"/>
        <v>100</v>
      </c>
      <c r="X38" s="636"/>
      <c r="Y38" s="347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472"/>
      <c r="Q39" s="1334">
        <f t="shared" si="11"/>
        <v>111</v>
      </c>
      <c r="R39" s="631" t="s">
        <v>25</v>
      </c>
      <c r="S39" s="632">
        <f t="shared" si="12"/>
        <v>100</v>
      </c>
      <c r="T39" s="631" t="s">
        <v>25</v>
      </c>
      <c r="U39" s="632">
        <f t="shared" si="13"/>
        <v>100</v>
      </c>
      <c r="V39" s="631" t="s">
        <v>25</v>
      </c>
      <c r="W39" s="632">
        <f t="shared" si="14"/>
        <v>100</v>
      </c>
      <c r="X39" s="1335"/>
      <c r="Y39" s="347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473"/>
      <c r="Q40" s="1334">
        <f t="shared" si="11"/>
        <v>111</v>
      </c>
      <c r="R40" s="631" t="s">
        <v>25</v>
      </c>
      <c r="S40" s="632">
        <f t="shared" si="12"/>
        <v>100</v>
      </c>
      <c r="T40" s="631" t="s">
        <v>25</v>
      </c>
      <c r="U40" s="632">
        <f t="shared" si="13"/>
        <v>100</v>
      </c>
      <c r="V40" s="631" t="s">
        <v>25</v>
      </c>
      <c r="W40" s="632">
        <f t="shared" si="14"/>
        <v>100</v>
      </c>
      <c r="X40" s="1335"/>
      <c r="Y40" s="3473"/>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66" t="str">
        <f>A41</f>
        <v>成交单价（元/平方米）</v>
      </c>
      <c r="Q41" s="3466"/>
      <c r="R41" s="3467">
        <f>E41</f>
        <v>0</v>
      </c>
      <c r="S41" s="3467"/>
      <c r="T41" s="3467">
        <f>G41</f>
        <v>0</v>
      </c>
      <c r="U41" s="3467"/>
      <c r="V41" s="3467">
        <f>I41</f>
        <v>0</v>
      </c>
      <c r="W41" s="3467"/>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4">
        <f>F42+H42+J42</f>
        <v>0</v>
      </c>
      <c r="L42" s="3040"/>
      <c r="N42" s="3029"/>
      <c r="P42" s="3466" t="str">
        <f>A42</f>
        <v>比较价值（元/平方米）</v>
      </c>
      <c r="Q42" s="3466"/>
      <c r="R42" s="3467" t="e">
        <f>IF(E1="售价",ROUND(PRODUCT(R41,AA7:AA40),0),ROUND(PRODUCT(R41,AA7:AA40),1))</f>
        <v>#DIV/0!</v>
      </c>
      <c r="S42" s="3467"/>
      <c r="T42" s="3467" t="e">
        <f>IF(E1="售价",ROUND(PRODUCT(T41,AB7:AB40),0),ROUND(PRODUCT(T41,AB7:AB40),1))</f>
        <v>#DIV/0!</v>
      </c>
      <c r="U42" s="3467"/>
      <c r="V42" s="3467" t="e">
        <f>IF(E1="售价",ROUND(PRODUCT(V41,AC7:AC40),0),ROUND(PRODUCT(V41,AC7:AC40),1))</f>
        <v>#DIV/0!</v>
      </c>
      <c r="W42" s="346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68" t="str">
        <f>A43</f>
        <v>估价对象XX用房的比较价值（楼面单价，元/平方米）</v>
      </c>
      <c r="Q43" s="3469"/>
      <c r="R43" s="3470" t="e">
        <f>IF(E1="售价",ROUND(IF(D42="简单平均",AVERAGE(R42:V42),R42*F42+T42*H42+V42*J42),0),ROUND(IF(D42="简单平均",AVERAGE(R42:V42),R42*F42+T42*H42+V42*J42),1))</f>
        <v>#DIV/0!</v>
      </c>
      <c r="S43" s="3470"/>
      <c r="T43" s="3470"/>
      <c r="U43" s="3470"/>
      <c r="V43" s="3470"/>
      <c r="W43" s="3470"/>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2020-5</v>
      </c>
      <c r="D52" s="1188">
        <f>EDATE(C52,-1)</f>
        <v>43922</v>
      </c>
      <c r="E52" s="1189">
        <f t="shared" ref="E52:O52" si="16">EDATE(D52,-1)</f>
        <v>43891</v>
      </c>
      <c r="F52" s="1189">
        <f t="shared" si="16"/>
        <v>43862</v>
      </c>
      <c r="G52" s="1189">
        <f t="shared" si="16"/>
        <v>43831</v>
      </c>
      <c r="H52" s="1189">
        <f t="shared" si="16"/>
        <v>43800</v>
      </c>
      <c r="I52" s="1189">
        <f t="shared" si="16"/>
        <v>43770</v>
      </c>
      <c r="J52" s="1189">
        <f t="shared" si="16"/>
        <v>43739</v>
      </c>
      <c r="K52" s="1189">
        <f t="shared" si="16"/>
        <v>43709</v>
      </c>
      <c r="L52" s="1189">
        <f t="shared" si="16"/>
        <v>43678</v>
      </c>
      <c r="M52" s="1189">
        <f t="shared" si="16"/>
        <v>43647</v>
      </c>
      <c r="N52" s="1189">
        <f t="shared" si="16"/>
        <v>43617</v>
      </c>
      <c r="O52" s="1189">
        <f t="shared" si="16"/>
        <v>43586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136.06</v>
      </c>
      <c r="E3" s="839" t="s">
        <v>2414</v>
      </c>
      <c r="F3" s="293">
        <f>'数据-取费表'!B42</f>
        <v>136.06</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9" t="s">
        <v>2254</v>
      </c>
      <c r="D4" s="3490"/>
      <c r="E4" s="3491" t="s">
        <v>2255</v>
      </c>
      <c r="F4" s="3492"/>
      <c r="G4" s="3489" t="s">
        <v>2256</v>
      </c>
      <c r="H4" s="3490"/>
      <c r="I4" s="3489" t="s">
        <v>2257</v>
      </c>
      <c r="J4" s="3490"/>
      <c r="K4" s="496" t="s">
        <v>2258</v>
      </c>
      <c r="L4" s="3028"/>
      <c r="M4" s="3029"/>
      <c r="N4" s="3029"/>
      <c r="O4" s="3029"/>
      <c r="P4" s="3493" t="s">
        <v>2259</v>
      </c>
      <c r="Q4" s="3494"/>
      <c r="R4" s="3476" t="s">
        <v>2255</v>
      </c>
      <c r="S4" s="3477"/>
      <c r="T4" s="3476" t="s">
        <v>2256</v>
      </c>
      <c r="U4" s="3477"/>
      <c r="V4" s="3499" t="s">
        <v>2257</v>
      </c>
      <c r="W4" s="3499"/>
      <c r="X4" s="1335"/>
      <c r="Y4" s="3476" t="s">
        <v>2259</v>
      </c>
      <c r="Z4" s="3477"/>
      <c r="AA4" s="3486" t="s">
        <v>2255</v>
      </c>
      <c r="AB4" s="3487" t="s">
        <v>2256</v>
      </c>
      <c r="AC4" s="3486" t="s">
        <v>2257</v>
      </c>
    </row>
    <row r="5" spans="1:29" ht="15">
      <c r="A5" s="297"/>
      <c r="B5" s="298"/>
      <c r="C5" s="3502" t="s">
        <v>2260</v>
      </c>
      <c r="D5" s="3503"/>
      <c r="E5" s="3500" t="s">
        <v>2261</v>
      </c>
      <c r="F5" s="3501"/>
      <c r="G5" s="3502" t="s">
        <v>2262</v>
      </c>
      <c r="H5" s="3503"/>
      <c r="I5" s="3502" t="s">
        <v>2263</v>
      </c>
      <c r="J5" s="3503"/>
      <c r="K5" s="496"/>
      <c r="L5" s="3028"/>
      <c r="M5" s="3029"/>
      <c r="N5" s="3029"/>
      <c r="O5" s="3029"/>
      <c r="P5" s="3495"/>
      <c r="Q5" s="3496"/>
      <c r="R5" s="3478"/>
      <c r="S5" s="3479"/>
      <c r="T5" s="3478"/>
      <c r="U5" s="3479"/>
      <c r="V5" s="3499"/>
      <c r="W5" s="3499"/>
      <c r="X5" s="1335"/>
      <c r="Y5" s="3478"/>
      <c r="Z5" s="3479"/>
      <c r="AA5" s="3487"/>
      <c r="AB5" s="3487"/>
      <c r="AC5" s="3487"/>
    </row>
    <row r="6" spans="1:29" ht="15.75" thickBot="1">
      <c r="A6" s="299"/>
      <c r="B6" s="300"/>
      <c r="C6" s="3504" t="s">
        <v>2264</v>
      </c>
      <c r="D6" s="3505"/>
      <c r="E6" s="3506" t="s">
        <v>2264</v>
      </c>
      <c r="F6" s="3507"/>
      <c r="G6" s="3504" t="s">
        <v>2264</v>
      </c>
      <c r="H6" s="3505"/>
      <c r="I6" s="3504" t="s">
        <v>2264</v>
      </c>
      <c r="J6" s="3505"/>
      <c r="K6" s="496" t="s">
        <v>2265</v>
      </c>
      <c r="L6" s="3028"/>
      <c r="M6" s="3029"/>
      <c r="N6" s="3029"/>
      <c r="O6" s="3029"/>
      <c r="P6" s="3497"/>
      <c r="Q6" s="3498"/>
      <c r="R6" s="3478"/>
      <c r="S6" s="3479"/>
      <c r="T6" s="3480"/>
      <c r="U6" s="3481"/>
      <c r="V6" s="3499"/>
      <c r="W6" s="3499"/>
      <c r="X6" s="1335"/>
      <c r="Y6" s="3480"/>
      <c r="Z6" s="3481"/>
      <c r="AA6" s="3488"/>
      <c r="AB6" s="3488"/>
      <c r="AC6" s="3488"/>
    </row>
    <row r="7" spans="1:29" s="25" customFormat="1" ht="15.75" thickBot="1">
      <c r="A7" s="301" t="s">
        <v>2266</v>
      </c>
      <c r="B7" s="302"/>
      <c r="C7" s="303">
        <f>'数据-取费表'!B2</f>
        <v>43964</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74" t="s">
        <v>2267</v>
      </c>
      <c r="Q7" s="3482"/>
      <c r="R7" s="627" t="s">
        <v>25</v>
      </c>
      <c r="S7" s="628">
        <f t="shared" ref="S7:S14" si="0">F7</f>
        <v>0</v>
      </c>
      <c r="T7" s="627" t="s">
        <v>25</v>
      </c>
      <c r="U7" s="628">
        <f t="shared" ref="U7:U14" si="1">H7</f>
        <v>0</v>
      </c>
      <c r="V7" s="627" t="s">
        <v>25</v>
      </c>
      <c r="W7" s="628">
        <f t="shared" ref="W7:W14" si="2">J7</f>
        <v>0</v>
      </c>
      <c r="X7" s="629"/>
      <c r="Y7" s="3474" t="s">
        <v>2267</v>
      </c>
      <c r="Z7" s="3475"/>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74" t="s">
        <v>2270</v>
      </c>
      <c r="Q8" s="3475"/>
      <c r="R8" s="627" t="s">
        <v>25</v>
      </c>
      <c r="S8" s="628">
        <f t="shared" si="0"/>
        <v>0</v>
      </c>
      <c r="T8" s="627" t="s">
        <v>25</v>
      </c>
      <c r="U8" s="628">
        <f t="shared" si="1"/>
        <v>0</v>
      </c>
      <c r="V8" s="627" t="s">
        <v>25</v>
      </c>
      <c r="W8" s="628">
        <f t="shared" si="2"/>
        <v>0</v>
      </c>
      <c r="X8" s="629"/>
      <c r="Y8" s="3474" t="s">
        <v>2270</v>
      </c>
      <c r="Z8" s="3475"/>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66" t="s">
        <v>2273</v>
      </c>
      <c r="Q9" s="1327" t="str">
        <f t="shared" ref="Q9:Q14" si="6">B9</f>
        <v>用途</v>
      </c>
      <c r="R9" s="627" t="s">
        <v>25</v>
      </c>
      <c r="S9" s="628">
        <f t="shared" si="0"/>
        <v>100</v>
      </c>
      <c r="T9" s="627" t="s">
        <v>25</v>
      </c>
      <c r="U9" s="628">
        <f t="shared" si="1"/>
        <v>100</v>
      </c>
      <c r="V9" s="627" t="s">
        <v>25</v>
      </c>
      <c r="W9" s="628">
        <f t="shared" si="2"/>
        <v>100</v>
      </c>
      <c r="X9" s="629"/>
      <c r="Y9" s="348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66"/>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66"/>
      <c r="Q11" s="1327">
        <f t="shared" si="6"/>
        <v>111</v>
      </c>
      <c r="R11" s="627" t="s">
        <v>25</v>
      </c>
      <c r="S11" s="628">
        <f t="shared" si="0"/>
        <v>100</v>
      </c>
      <c r="T11" s="627" t="s">
        <v>25</v>
      </c>
      <c r="U11" s="628">
        <f t="shared" si="1"/>
        <v>100</v>
      </c>
      <c r="V11" s="627" t="s">
        <v>25</v>
      </c>
      <c r="W11" s="628">
        <f t="shared" si="2"/>
        <v>100</v>
      </c>
      <c r="X11" s="629"/>
      <c r="Y11" s="348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66"/>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66"/>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483" t="s">
        <v>2278</v>
      </c>
      <c r="Q14" s="1334" t="str">
        <f t="shared" si="6"/>
        <v>交通便捷度</v>
      </c>
      <c r="R14" s="631" t="s">
        <v>25</v>
      </c>
      <c r="S14" s="632">
        <f t="shared" si="0"/>
        <v>100</v>
      </c>
      <c r="T14" s="631" t="s">
        <v>25</v>
      </c>
      <c r="U14" s="632">
        <f t="shared" si="1"/>
        <v>100</v>
      </c>
      <c r="V14" s="631" t="s">
        <v>25</v>
      </c>
      <c r="W14" s="632">
        <f t="shared" si="2"/>
        <v>100</v>
      </c>
      <c r="X14" s="1335"/>
      <c r="Y14" s="348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484"/>
      <c r="Q15" s="1334"/>
      <c r="R15" s="631"/>
      <c r="S15" s="632"/>
      <c r="T15" s="631"/>
      <c r="U15" s="632"/>
      <c r="V15" s="631"/>
      <c r="W15" s="632"/>
      <c r="X15" s="1335"/>
      <c r="Y15" s="348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484"/>
      <c r="Q16" s="1334" t="str">
        <f>B16</f>
        <v>公共配套设施</v>
      </c>
      <c r="R16" s="631" t="s">
        <v>25</v>
      </c>
      <c r="S16" s="632">
        <f>F16</f>
        <v>100</v>
      </c>
      <c r="T16" s="631" t="s">
        <v>25</v>
      </c>
      <c r="U16" s="632">
        <f>H16</f>
        <v>100</v>
      </c>
      <c r="V16" s="631" t="s">
        <v>25</v>
      </c>
      <c r="W16" s="632">
        <f>J16</f>
        <v>100</v>
      </c>
      <c r="X16" s="1335"/>
      <c r="Y16" s="348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484"/>
      <c r="Q17" s="1334"/>
      <c r="R17" s="631"/>
      <c r="S17" s="632"/>
      <c r="T17" s="631"/>
      <c r="U17" s="632"/>
      <c r="V17" s="631"/>
      <c r="W17" s="632"/>
      <c r="X17" s="1335"/>
      <c r="Y17" s="3484"/>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484"/>
      <c r="Q18" s="1334" t="str">
        <f>B18</f>
        <v>基础设施水平</v>
      </c>
      <c r="R18" s="631" t="s">
        <v>25</v>
      </c>
      <c r="S18" s="632">
        <f>F18</f>
        <v>100</v>
      </c>
      <c r="T18" s="631" t="s">
        <v>25</v>
      </c>
      <c r="U18" s="632">
        <f>H18</f>
        <v>100</v>
      </c>
      <c r="V18" s="631" t="s">
        <v>25</v>
      </c>
      <c r="W18" s="632">
        <f>J18</f>
        <v>100</v>
      </c>
      <c r="X18" s="1335"/>
      <c r="Y18" s="348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484"/>
      <c r="Q19" s="1334"/>
      <c r="R19" s="631"/>
      <c r="S19" s="632"/>
      <c r="T19" s="631"/>
      <c r="U19" s="632"/>
      <c r="V19" s="631"/>
      <c r="W19" s="632"/>
      <c r="X19" s="1335"/>
      <c r="Y19" s="3484"/>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484"/>
      <c r="Q20" s="1334" t="str">
        <f>B20</f>
        <v>自然及人文环境</v>
      </c>
      <c r="R20" s="631" t="s">
        <v>25</v>
      </c>
      <c r="S20" s="632">
        <f>F20</f>
        <v>100</v>
      </c>
      <c r="T20" s="631" t="s">
        <v>25</v>
      </c>
      <c r="U20" s="632">
        <f>H20</f>
        <v>100</v>
      </c>
      <c r="V20" s="631" t="s">
        <v>25</v>
      </c>
      <c r="W20" s="632">
        <f>J20</f>
        <v>100</v>
      </c>
      <c r="X20" s="1335"/>
      <c r="Y20" s="348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484"/>
      <c r="Q21" s="1334"/>
      <c r="R21" s="631"/>
      <c r="S21" s="632"/>
      <c r="T21" s="631"/>
      <c r="U21" s="632"/>
      <c r="V21" s="631"/>
      <c r="W21" s="632"/>
      <c r="X21" s="1335"/>
      <c r="Y21" s="348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484"/>
      <c r="Q22" s="1334" t="str">
        <f>B22</f>
        <v>楼层</v>
      </c>
      <c r="R22" s="631" t="s">
        <v>25</v>
      </c>
      <c r="S22" s="632">
        <f>F22</f>
        <v>100</v>
      </c>
      <c r="T22" s="631" t="s">
        <v>25</v>
      </c>
      <c r="U22" s="632">
        <f>H22</f>
        <v>100</v>
      </c>
      <c r="V22" s="631" t="s">
        <v>25</v>
      </c>
      <c r="W22" s="632">
        <f>J22</f>
        <v>100</v>
      </c>
      <c r="X22" s="1335"/>
      <c r="Y22" s="348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484"/>
      <c r="Q23" s="1334">
        <f>B23</f>
        <v>111</v>
      </c>
      <c r="R23" s="631" t="s">
        <v>25</v>
      </c>
      <c r="S23" s="632">
        <f>F23</f>
        <v>100</v>
      </c>
      <c r="T23" s="631" t="s">
        <v>25</v>
      </c>
      <c r="U23" s="632">
        <f>H23</f>
        <v>100</v>
      </c>
      <c r="V23" s="631" t="s">
        <v>25</v>
      </c>
      <c r="W23" s="632">
        <f>J23</f>
        <v>100</v>
      </c>
      <c r="X23" s="1335"/>
      <c r="Y23" s="348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484"/>
      <c r="Q24" s="1334">
        <f t="shared" ref="Q24:Q36" si="11">B24</f>
        <v>111</v>
      </c>
      <c r="R24" s="631" t="s">
        <v>25</v>
      </c>
      <c r="S24" s="632">
        <f>F24</f>
        <v>100</v>
      </c>
      <c r="T24" s="631" t="s">
        <v>25</v>
      </c>
      <c r="U24" s="632">
        <f>H24</f>
        <v>100</v>
      </c>
      <c r="V24" s="631" t="s">
        <v>25</v>
      </c>
      <c r="W24" s="632">
        <f>J24</f>
        <v>100</v>
      </c>
      <c r="X24" s="1335"/>
      <c r="Y24" s="348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484"/>
      <c r="Q25" s="1327">
        <f t="shared" si="11"/>
        <v>111</v>
      </c>
      <c r="R25" s="627" t="s">
        <v>25</v>
      </c>
      <c r="S25" s="628">
        <f>F25</f>
        <v>100</v>
      </c>
      <c r="T25" s="627" t="s">
        <v>25</v>
      </c>
      <c r="U25" s="628">
        <f>H25</f>
        <v>100</v>
      </c>
      <c r="V25" s="627" t="s">
        <v>25</v>
      </c>
      <c r="W25" s="628">
        <f>J25</f>
        <v>100</v>
      </c>
      <c r="X25" s="629"/>
      <c r="Y25" s="3484"/>
      <c r="Z25" s="19">
        <f>Q25</f>
        <v>111</v>
      </c>
      <c r="AA25" s="1337">
        <f>D25/F25</f>
        <v>1</v>
      </c>
      <c r="AB25" s="1337">
        <f>D25/H25</f>
        <v>1</v>
      </c>
      <c r="AC25" s="1337">
        <f>D25/J25</f>
        <v>1</v>
      </c>
    </row>
    <row r="26" spans="1:29" ht="29.2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471"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72"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472"/>
      <c r="Q27" s="633" t="str">
        <f t="shared" si="11"/>
        <v>项目停车位配比</v>
      </c>
      <c r="R27" s="634" t="s">
        <v>25</v>
      </c>
      <c r="S27" s="635">
        <f t="shared" si="12"/>
        <v>100</v>
      </c>
      <c r="T27" s="634" t="s">
        <v>25</v>
      </c>
      <c r="U27" s="635">
        <f t="shared" si="13"/>
        <v>100</v>
      </c>
      <c r="V27" s="634" t="s">
        <v>25</v>
      </c>
      <c r="W27" s="635">
        <f t="shared" si="14"/>
        <v>100</v>
      </c>
      <c r="X27" s="636"/>
      <c r="Y27" s="3472"/>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472"/>
      <c r="Q28" s="1334" t="str">
        <f t="shared" si="11"/>
        <v>公共部分装修</v>
      </c>
      <c r="R28" s="631" t="s">
        <v>25</v>
      </c>
      <c r="S28" s="632">
        <f t="shared" si="12"/>
        <v>100</v>
      </c>
      <c r="T28" s="631" t="s">
        <v>25</v>
      </c>
      <c r="U28" s="632">
        <f t="shared" si="13"/>
        <v>100</v>
      </c>
      <c r="V28" s="631" t="s">
        <v>25</v>
      </c>
      <c r="W28" s="632">
        <f t="shared" si="14"/>
        <v>100</v>
      </c>
      <c r="X28" s="1335"/>
      <c r="Y28" s="3472"/>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472"/>
      <c r="Q29" s="1334" t="str">
        <f t="shared" si="11"/>
        <v>成新率</v>
      </c>
      <c r="R29" s="631" t="s">
        <v>25</v>
      </c>
      <c r="S29" s="632" t="e">
        <f t="shared" si="12"/>
        <v>#N/A</v>
      </c>
      <c r="T29" s="631" t="s">
        <v>25</v>
      </c>
      <c r="U29" s="632" t="e">
        <f t="shared" si="13"/>
        <v>#N/A</v>
      </c>
      <c r="V29" s="631" t="s">
        <v>25</v>
      </c>
      <c r="W29" s="632" t="e">
        <f t="shared" si="14"/>
        <v>#N/A</v>
      </c>
      <c r="X29" s="1335"/>
      <c r="Y29" s="3472"/>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472"/>
      <c r="Q30" s="1334" t="str">
        <f t="shared" si="11"/>
        <v>物业等级</v>
      </c>
      <c r="R30" s="631" t="s">
        <v>25</v>
      </c>
      <c r="S30" s="632">
        <f t="shared" si="12"/>
        <v>100</v>
      </c>
      <c r="T30" s="631" t="s">
        <v>25</v>
      </c>
      <c r="U30" s="632">
        <f t="shared" si="13"/>
        <v>100</v>
      </c>
      <c r="V30" s="631" t="s">
        <v>25</v>
      </c>
      <c r="W30" s="632">
        <f t="shared" si="14"/>
        <v>100</v>
      </c>
      <c r="X30" s="1335"/>
      <c r="Y30" s="3472"/>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472"/>
      <c r="Q31" s="1327" t="str">
        <f t="shared" si="11"/>
        <v>停车位面积</v>
      </c>
      <c r="R31" s="627" t="s">
        <v>25</v>
      </c>
      <c r="S31" s="628" t="e">
        <f t="shared" si="12"/>
        <v>#N/A</v>
      </c>
      <c r="T31" s="627" t="s">
        <v>25</v>
      </c>
      <c r="U31" s="628" t="e">
        <f t="shared" si="13"/>
        <v>#N/A</v>
      </c>
      <c r="V31" s="627" t="s">
        <v>25</v>
      </c>
      <c r="W31" s="628" t="e">
        <f t="shared" si="14"/>
        <v>#N/A</v>
      </c>
      <c r="X31" s="629"/>
      <c r="Y31" s="3472"/>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472" t="s">
        <v>2284</v>
      </c>
      <c r="Q32" s="1334" t="str">
        <f t="shared" si="11"/>
        <v>车位类型</v>
      </c>
      <c r="R32" s="631" t="s">
        <v>25</v>
      </c>
      <c r="S32" s="632">
        <f t="shared" si="12"/>
        <v>100</v>
      </c>
      <c r="T32" s="631" t="s">
        <v>25</v>
      </c>
      <c r="U32" s="632">
        <f t="shared" si="13"/>
        <v>100</v>
      </c>
      <c r="V32" s="631" t="s">
        <v>25</v>
      </c>
      <c r="W32" s="632">
        <f t="shared" si="14"/>
        <v>100</v>
      </c>
      <c r="X32" s="1335"/>
      <c r="Y32" s="3472"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472"/>
      <c r="Q33" s="1334" t="str">
        <f t="shared" si="11"/>
        <v>是否直接入户</v>
      </c>
      <c r="R33" s="631" t="s">
        <v>25</v>
      </c>
      <c r="S33" s="632">
        <f t="shared" si="12"/>
        <v>100</v>
      </c>
      <c r="T33" s="631" t="s">
        <v>25</v>
      </c>
      <c r="U33" s="632">
        <f t="shared" si="13"/>
        <v>100</v>
      </c>
      <c r="V33" s="631" t="s">
        <v>25</v>
      </c>
      <c r="W33" s="632">
        <f t="shared" si="14"/>
        <v>100</v>
      </c>
      <c r="X33" s="1335"/>
      <c r="Y33" s="347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472"/>
      <c r="Q34" s="1334">
        <f t="shared" si="11"/>
        <v>111</v>
      </c>
      <c r="R34" s="631" t="s">
        <v>25</v>
      </c>
      <c r="S34" s="632">
        <f t="shared" si="12"/>
        <v>100</v>
      </c>
      <c r="T34" s="631" t="s">
        <v>25</v>
      </c>
      <c r="U34" s="632">
        <f t="shared" si="13"/>
        <v>100</v>
      </c>
      <c r="V34" s="631" t="s">
        <v>25</v>
      </c>
      <c r="W34" s="632">
        <f t="shared" si="14"/>
        <v>100</v>
      </c>
      <c r="X34" s="1335"/>
      <c r="Y34" s="347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472"/>
      <c r="Q35" s="633">
        <f t="shared" si="11"/>
        <v>111</v>
      </c>
      <c r="R35" s="634" t="s">
        <v>25</v>
      </c>
      <c r="S35" s="635">
        <f t="shared" si="12"/>
        <v>100</v>
      </c>
      <c r="T35" s="634" t="s">
        <v>25</v>
      </c>
      <c r="U35" s="635">
        <f t="shared" si="13"/>
        <v>100</v>
      </c>
      <c r="V35" s="634" t="s">
        <v>25</v>
      </c>
      <c r="W35" s="635">
        <f t="shared" si="14"/>
        <v>100</v>
      </c>
      <c r="X35" s="636"/>
      <c r="Y35" s="347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472"/>
      <c r="Q36" s="1334">
        <f t="shared" si="11"/>
        <v>111</v>
      </c>
      <c r="R36" s="631" t="s">
        <v>25</v>
      </c>
      <c r="S36" s="632">
        <f t="shared" si="12"/>
        <v>100</v>
      </c>
      <c r="T36" s="631" t="s">
        <v>25</v>
      </c>
      <c r="U36" s="632">
        <f t="shared" si="13"/>
        <v>100</v>
      </c>
      <c r="V36" s="631" t="s">
        <v>25</v>
      </c>
      <c r="W36" s="632">
        <f t="shared" si="14"/>
        <v>100</v>
      </c>
      <c r="X36" s="1335"/>
      <c r="Y36" s="3472"/>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66" t="str">
        <f>A37</f>
        <v>成交单价</v>
      </c>
      <c r="Q37" s="3466"/>
      <c r="R37" s="3467">
        <f>E37</f>
        <v>0</v>
      </c>
      <c r="S37" s="3467"/>
      <c r="T37" s="3467">
        <f>G37</f>
        <v>0</v>
      </c>
      <c r="U37" s="3467"/>
      <c r="V37" s="3467">
        <f>I37</f>
        <v>0</v>
      </c>
      <c r="W37" s="3467"/>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4">
        <f>F38+H38+J38</f>
        <v>0</v>
      </c>
      <c r="L38" s="3040"/>
      <c r="P38" s="3466" t="str">
        <f>A38</f>
        <v>比较价值</v>
      </c>
      <c r="Q38" s="3466"/>
      <c r="R38" s="3467" t="e">
        <f>IF(E1="售价",ROUND(PRODUCT(R37,AA7:AA36),0),ROUND(PRODUCT(R37,AA7:AA36),1))</f>
        <v>#DIV/0!</v>
      </c>
      <c r="S38" s="3467"/>
      <c r="T38" s="3467" t="e">
        <f>IF(E1="售价",ROUND(PRODUCT(T37,AB7:AB36),0),ROUND(PRODUCT(T37,AB7:AB36),1))</f>
        <v>#DIV/0!</v>
      </c>
      <c r="U38" s="3467"/>
      <c r="V38" s="3467" t="e">
        <f>IF(E1="售价",ROUND(PRODUCT(V37,AC7:AC36),0),ROUND(PRODUCT(V37,AC7:AC36),1))</f>
        <v>#DIV/0!</v>
      </c>
      <c r="W38" s="3467"/>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68" t="str">
        <f>A39</f>
        <v>估价对象XX用房的比较价值（楼面单价，元/平方米）</v>
      </c>
      <c r="Q39" s="3469"/>
      <c r="R39" s="3470" t="e">
        <f>IF(E1="售价",ROUND(IF(D38="简单平均",AVERAGE(R38:W38),R38*F38+T38*H38+V38*J38),0),ROUND(IF(D38="简单平均",AVERAGE(R38:V38),R38*F38+T38*H38+V38*J38),1))</f>
        <v>#DIV/0!</v>
      </c>
      <c r="S39" s="3470"/>
      <c r="T39" s="3470"/>
      <c r="U39" s="3470"/>
      <c r="V39" s="3470"/>
      <c r="W39" s="3470"/>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2020-5</v>
      </c>
      <c r="D48" s="1188">
        <f>EDATE(C48,-1)</f>
        <v>43922</v>
      </c>
      <c r="E48" s="1188">
        <f t="shared" ref="E48:O48" si="16">EDATE(D48,-1)</f>
        <v>43891</v>
      </c>
      <c r="F48" s="1188">
        <f t="shared" si="16"/>
        <v>43862</v>
      </c>
      <c r="G48" s="1188">
        <f t="shared" si="16"/>
        <v>43831</v>
      </c>
      <c r="H48" s="1188">
        <f t="shared" si="16"/>
        <v>43800</v>
      </c>
      <c r="I48" s="1188">
        <f t="shared" si="16"/>
        <v>43770</v>
      </c>
      <c r="J48" s="1188">
        <f t="shared" si="16"/>
        <v>43739</v>
      </c>
      <c r="K48" s="1188">
        <f t="shared" si="16"/>
        <v>43709</v>
      </c>
      <c r="L48" s="1188">
        <f t="shared" si="16"/>
        <v>43678</v>
      </c>
      <c r="M48" s="1188">
        <f t="shared" si="16"/>
        <v>43647</v>
      </c>
      <c r="N48" s="1188">
        <f t="shared" si="16"/>
        <v>43617</v>
      </c>
      <c r="O48" s="1188">
        <f t="shared" si="16"/>
        <v>43586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136.06</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9" t="s">
        <v>2254</v>
      </c>
      <c r="D4" s="3490"/>
      <c r="E4" s="3491" t="s">
        <v>2255</v>
      </c>
      <c r="F4" s="3492"/>
      <c r="G4" s="3489" t="s">
        <v>2256</v>
      </c>
      <c r="H4" s="3490"/>
      <c r="I4" s="3489" t="s">
        <v>2257</v>
      </c>
      <c r="J4" s="3490"/>
      <c r="K4" s="496" t="s">
        <v>2258</v>
      </c>
      <c r="L4" s="3028"/>
      <c r="M4" s="3029"/>
      <c r="N4" s="3029"/>
      <c r="O4" s="3029"/>
      <c r="P4" s="3493" t="s">
        <v>2259</v>
      </c>
      <c r="Q4" s="3494"/>
      <c r="R4" s="3476" t="s">
        <v>2255</v>
      </c>
      <c r="S4" s="3477"/>
      <c r="T4" s="3476" t="s">
        <v>2256</v>
      </c>
      <c r="U4" s="3477"/>
      <c r="V4" s="3499" t="s">
        <v>2257</v>
      </c>
      <c r="W4" s="3499"/>
      <c r="X4" s="1335"/>
      <c r="Y4" s="3476" t="s">
        <v>2259</v>
      </c>
      <c r="Z4" s="3477"/>
      <c r="AA4" s="3486" t="s">
        <v>2255</v>
      </c>
      <c r="AB4" s="3487" t="s">
        <v>2256</v>
      </c>
      <c r="AC4" s="3486" t="s">
        <v>2257</v>
      </c>
    </row>
    <row r="5" spans="1:29" ht="15">
      <c r="A5" s="297"/>
      <c r="B5" s="298"/>
      <c r="C5" s="3502" t="s">
        <v>2260</v>
      </c>
      <c r="D5" s="3503"/>
      <c r="E5" s="3500" t="s">
        <v>2261</v>
      </c>
      <c r="F5" s="3501"/>
      <c r="G5" s="3502" t="s">
        <v>2262</v>
      </c>
      <c r="H5" s="3503"/>
      <c r="I5" s="3502" t="s">
        <v>2263</v>
      </c>
      <c r="J5" s="3503"/>
      <c r="K5" s="496"/>
      <c r="L5" s="3028"/>
      <c r="M5" s="3029"/>
      <c r="N5" s="3029"/>
      <c r="O5" s="3029"/>
      <c r="P5" s="3495"/>
      <c r="Q5" s="3496"/>
      <c r="R5" s="3478"/>
      <c r="S5" s="3479"/>
      <c r="T5" s="3478"/>
      <c r="U5" s="3479"/>
      <c r="V5" s="3499"/>
      <c r="W5" s="3499"/>
      <c r="X5" s="1335"/>
      <c r="Y5" s="3478"/>
      <c r="Z5" s="3479"/>
      <c r="AA5" s="3487"/>
      <c r="AB5" s="3487"/>
      <c r="AC5" s="3487"/>
    </row>
    <row r="6" spans="1:29" ht="15.75" thickBot="1">
      <c r="A6" s="299"/>
      <c r="B6" s="300"/>
      <c r="C6" s="3504" t="s">
        <v>2264</v>
      </c>
      <c r="D6" s="3505"/>
      <c r="E6" s="3506" t="s">
        <v>2264</v>
      </c>
      <c r="F6" s="3507"/>
      <c r="G6" s="3504" t="s">
        <v>2264</v>
      </c>
      <c r="H6" s="3505"/>
      <c r="I6" s="3504" t="s">
        <v>2264</v>
      </c>
      <c r="J6" s="3505"/>
      <c r="K6" s="496" t="s">
        <v>2265</v>
      </c>
      <c r="L6" s="3028"/>
      <c r="M6" s="3029"/>
      <c r="N6" s="3029"/>
      <c r="O6" s="3029"/>
      <c r="P6" s="3497"/>
      <c r="Q6" s="3498"/>
      <c r="R6" s="3478"/>
      <c r="S6" s="3479"/>
      <c r="T6" s="3480"/>
      <c r="U6" s="3481"/>
      <c r="V6" s="3499"/>
      <c r="W6" s="3499"/>
      <c r="X6" s="1335"/>
      <c r="Y6" s="3480"/>
      <c r="Z6" s="3481"/>
      <c r="AA6" s="3488"/>
      <c r="AB6" s="3488"/>
      <c r="AC6" s="3488"/>
    </row>
    <row r="7" spans="1:29" s="25" customFormat="1" ht="15.75" thickBot="1">
      <c r="A7" s="301" t="s">
        <v>2266</v>
      </c>
      <c r="B7" s="302"/>
      <c r="C7" s="303">
        <f>'数据-取费表'!B2</f>
        <v>43964</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74" t="s">
        <v>2267</v>
      </c>
      <c r="Q7" s="3482"/>
      <c r="R7" s="627" t="s">
        <v>25</v>
      </c>
      <c r="S7" s="628">
        <f t="shared" ref="S7:S14" si="0">F7</f>
        <v>0</v>
      </c>
      <c r="T7" s="627" t="s">
        <v>25</v>
      </c>
      <c r="U7" s="628">
        <f t="shared" ref="U7:U14" si="1">H7</f>
        <v>0</v>
      </c>
      <c r="V7" s="627" t="s">
        <v>25</v>
      </c>
      <c r="W7" s="628">
        <f t="shared" ref="W7:W14" si="2">J7</f>
        <v>0</v>
      </c>
      <c r="X7" s="629"/>
      <c r="Y7" s="3474" t="s">
        <v>2267</v>
      </c>
      <c r="Z7" s="3475"/>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74" t="s">
        <v>2270</v>
      </c>
      <c r="Q8" s="3475"/>
      <c r="R8" s="627" t="s">
        <v>25</v>
      </c>
      <c r="S8" s="628">
        <f t="shared" si="0"/>
        <v>0</v>
      </c>
      <c r="T8" s="627" t="s">
        <v>25</v>
      </c>
      <c r="U8" s="628">
        <f t="shared" si="1"/>
        <v>0</v>
      </c>
      <c r="V8" s="627" t="s">
        <v>25</v>
      </c>
      <c r="W8" s="628">
        <f t="shared" si="2"/>
        <v>0</v>
      </c>
      <c r="X8" s="629"/>
      <c r="Y8" s="3474" t="s">
        <v>2270</v>
      </c>
      <c r="Z8" s="3475"/>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66" t="s">
        <v>2273</v>
      </c>
      <c r="Q9" s="1327" t="str">
        <f t="shared" ref="Q9:Q14" si="6">B9</f>
        <v>用途</v>
      </c>
      <c r="R9" s="627" t="s">
        <v>25</v>
      </c>
      <c r="S9" s="628">
        <f t="shared" si="0"/>
        <v>100</v>
      </c>
      <c r="T9" s="627" t="s">
        <v>25</v>
      </c>
      <c r="U9" s="628">
        <f t="shared" si="1"/>
        <v>100</v>
      </c>
      <c r="V9" s="627" t="s">
        <v>25</v>
      </c>
      <c r="W9" s="628">
        <f t="shared" si="2"/>
        <v>100</v>
      </c>
      <c r="X9" s="629"/>
      <c r="Y9" s="348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66"/>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66"/>
      <c r="Q11" s="1327">
        <f t="shared" si="6"/>
        <v>111</v>
      </c>
      <c r="R11" s="627" t="s">
        <v>25</v>
      </c>
      <c r="S11" s="628">
        <f t="shared" si="0"/>
        <v>100</v>
      </c>
      <c r="T11" s="627" t="s">
        <v>25</v>
      </c>
      <c r="U11" s="628">
        <f t="shared" si="1"/>
        <v>100</v>
      </c>
      <c r="V11" s="627" t="s">
        <v>25</v>
      </c>
      <c r="W11" s="628">
        <f t="shared" si="2"/>
        <v>100</v>
      </c>
      <c r="X11" s="629"/>
      <c r="Y11" s="348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66"/>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66"/>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483" t="s">
        <v>2278</v>
      </c>
      <c r="Q14" s="1334" t="str">
        <f t="shared" si="6"/>
        <v>交通便捷度</v>
      </c>
      <c r="R14" s="631" t="s">
        <v>25</v>
      </c>
      <c r="S14" s="632">
        <f t="shared" si="0"/>
        <v>100</v>
      </c>
      <c r="T14" s="631" t="s">
        <v>25</v>
      </c>
      <c r="U14" s="632">
        <f t="shared" si="1"/>
        <v>100</v>
      </c>
      <c r="V14" s="631" t="s">
        <v>25</v>
      </c>
      <c r="W14" s="632">
        <f t="shared" si="2"/>
        <v>100</v>
      </c>
      <c r="X14" s="1335"/>
      <c r="Y14" s="348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484"/>
      <c r="Q15" s="1334"/>
      <c r="R15" s="631"/>
      <c r="S15" s="632"/>
      <c r="T15" s="631"/>
      <c r="U15" s="632"/>
      <c r="V15" s="631"/>
      <c r="W15" s="632"/>
      <c r="X15" s="1335"/>
      <c r="Y15" s="348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484"/>
      <c r="Q16" s="1334" t="str">
        <f>B16</f>
        <v>公共配套设施</v>
      </c>
      <c r="R16" s="631" t="s">
        <v>25</v>
      </c>
      <c r="S16" s="632">
        <f>F16</f>
        <v>100</v>
      </c>
      <c r="T16" s="631" t="s">
        <v>25</v>
      </c>
      <c r="U16" s="632">
        <f>H16</f>
        <v>100</v>
      </c>
      <c r="V16" s="631" t="s">
        <v>25</v>
      </c>
      <c r="W16" s="632">
        <f>J16</f>
        <v>100</v>
      </c>
      <c r="X16" s="1335"/>
      <c r="Y16" s="348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484"/>
      <c r="Q17" s="1334"/>
      <c r="R17" s="631"/>
      <c r="S17" s="632"/>
      <c r="T17" s="631"/>
      <c r="U17" s="632"/>
      <c r="V17" s="631"/>
      <c r="W17" s="632"/>
      <c r="X17" s="1335"/>
      <c r="Y17" s="3484"/>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484"/>
      <c r="Q18" s="1334" t="str">
        <f>B18</f>
        <v>基础设施水平</v>
      </c>
      <c r="R18" s="631" t="s">
        <v>25</v>
      </c>
      <c r="S18" s="632">
        <f>F18</f>
        <v>100</v>
      </c>
      <c r="T18" s="631" t="s">
        <v>25</v>
      </c>
      <c r="U18" s="632">
        <f>H18</f>
        <v>100</v>
      </c>
      <c r="V18" s="631" t="s">
        <v>25</v>
      </c>
      <c r="W18" s="632">
        <f>J18</f>
        <v>100</v>
      </c>
      <c r="X18" s="1335"/>
      <c r="Y18" s="348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484"/>
      <c r="Q19" s="1334"/>
      <c r="R19" s="631"/>
      <c r="S19" s="632"/>
      <c r="T19" s="631"/>
      <c r="U19" s="632"/>
      <c r="V19" s="631"/>
      <c r="W19" s="632"/>
      <c r="X19" s="1335"/>
      <c r="Y19" s="3484"/>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484"/>
      <c r="Q20" s="1334" t="str">
        <f>B20</f>
        <v>自然及人文环境</v>
      </c>
      <c r="R20" s="631" t="s">
        <v>25</v>
      </c>
      <c r="S20" s="632">
        <f>F20</f>
        <v>100</v>
      </c>
      <c r="T20" s="631" t="s">
        <v>25</v>
      </c>
      <c r="U20" s="632">
        <f>H20</f>
        <v>100</v>
      </c>
      <c r="V20" s="631" t="s">
        <v>25</v>
      </c>
      <c r="W20" s="632">
        <f>J20</f>
        <v>100</v>
      </c>
      <c r="X20" s="1335"/>
      <c r="Y20" s="348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484"/>
      <c r="Q21" s="1334"/>
      <c r="R21" s="631"/>
      <c r="S21" s="632"/>
      <c r="T21" s="631"/>
      <c r="U21" s="632"/>
      <c r="V21" s="631"/>
      <c r="W21" s="632"/>
      <c r="X21" s="1335"/>
      <c r="Y21" s="348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484"/>
      <c r="Q22" s="1334" t="str">
        <f>B22</f>
        <v>楼层</v>
      </c>
      <c r="R22" s="631" t="s">
        <v>25</v>
      </c>
      <c r="S22" s="632">
        <f>F22</f>
        <v>100</v>
      </c>
      <c r="T22" s="631" t="s">
        <v>25</v>
      </c>
      <c r="U22" s="632">
        <f>H22</f>
        <v>100</v>
      </c>
      <c r="V22" s="631" t="s">
        <v>25</v>
      </c>
      <c r="W22" s="632">
        <f>J22</f>
        <v>100</v>
      </c>
      <c r="X22" s="1335"/>
      <c r="Y22" s="348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484"/>
      <c r="Q23" s="1334">
        <f>B23</f>
        <v>111</v>
      </c>
      <c r="R23" s="631" t="s">
        <v>25</v>
      </c>
      <c r="S23" s="632">
        <f>F23</f>
        <v>100</v>
      </c>
      <c r="T23" s="631" t="s">
        <v>25</v>
      </c>
      <c r="U23" s="632">
        <f>H23</f>
        <v>100</v>
      </c>
      <c r="V23" s="631" t="s">
        <v>25</v>
      </c>
      <c r="W23" s="632">
        <f>J23</f>
        <v>100</v>
      </c>
      <c r="X23" s="1335"/>
      <c r="Y23" s="348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484"/>
      <c r="Q24" s="1334">
        <f t="shared" ref="Q24:Q34" si="11">B24</f>
        <v>111</v>
      </c>
      <c r="R24" s="631" t="s">
        <v>25</v>
      </c>
      <c r="S24" s="632">
        <f>F24</f>
        <v>100</v>
      </c>
      <c r="T24" s="631" t="s">
        <v>25</v>
      </c>
      <c r="U24" s="632">
        <f>H24</f>
        <v>100</v>
      </c>
      <c r="V24" s="631" t="s">
        <v>25</v>
      </c>
      <c r="W24" s="632">
        <f>J24</f>
        <v>100</v>
      </c>
      <c r="X24" s="1335"/>
      <c r="Y24" s="348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484"/>
      <c r="Q25" s="1327">
        <f t="shared" si="11"/>
        <v>111</v>
      </c>
      <c r="R25" s="627" t="s">
        <v>25</v>
      </c>
      <c r="S25" s="628">
        <f>F25</f>
        <v>100</v>
      </c>
      <c r="T25" s="627" t="s">
        <v>25</v>
      </c>
      <c r="U25" s="628">
        <f>H25</f>
        <v>100</v>
      </c>
      <c r="V25" s="627" t="s">
        <v>25</v>
      </c>
      <c r="W25" s="628">
        <f>J25</f>
        <v>100</v>
      </c>
      <c r="X25" s="629"/>
      <c r="Y25" s="3484"/>
      <c r="Z25" s="19">
        <f>Q25</f>
        <v>111</v>
      </c>
      <c r="AA25" s="1337">
        <f>D25/F25</f>
        <v>1</v>
      </c>
      <c r="AB25" s="1337">
        <f>D25/H25</f>
        <v>1</v>
      </c>
      <c r="AC25" s="1337">
        <f>D25/J25</f>
        <v>1</v>
      </c>
    </row>
    <row r="26" spans="1:29" ht="29.2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471"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72"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472"/>
      <c r="Q27" s="633" t="str">
        <f t="shared" si="11"/>
        <v>成新率</v>
      </c>
      <c r="R27" s="634" t="s">
        <v>25</v>
      </c>
      <c r="S27" s="635" t="e">
        <f t="shared" si="12"/>
        <v>#N/A</v>
      </c>
      <c r="T27" s="634" t="s">
        <v>25</v>
      </c>
      <c r="U27" s="635" t="e">
        <f t="shared" si="13"/>
        <v>#N/A</v>
      </c>
      <c r="V27" s="634" t="s">
        <v>25</v>
      </c>
      <c r="W27" s="635" t="e">
        <f t="shared" si="14"/>
        <v>#N/A</v>
      </c>
      <c r="X27" s="636"/>
      <c r="Y27" s="3472"/>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472"/>
      <c r="Q28" s="1334" t="str">
        <f t="shared" si="11"/>
        <v>物业等级</v>
      </c>
      <c r="R28" s="631" t="s">
        <v>25</v>
      </c>
      <c r="S28" s="632">
        <f t="shared" si="12"/>
        <v>100</v>
      </c>
      <c r="T28" s="631" t="s">
        <v>25</v>
      </c>
      <c r="U28" s="632">
        <f t="shared" si="13"/>
        <v>100</v>
      </c>
      <c r="V28" s="631" t="s">
        <v>25</v>
      </c>
      <c r="W28" s="632">
        <f t="shared" si="14"/>
        <v>100</v>
      </c>
      <c r="X28" s="1335"/>
      <c r="Y28" s="3472"/>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472"/>
      <c r="Q29" s="1334" t="str">
        <f t="shared" si="11"/>
        <v>有无电梯</v>
      </c>
      <c r="R29" s="631" t="s">
        <v>25</v>
      </c>
      <c r="S29" s="632">
        <f t="shared" si="12"/>
        <v>100</v>
      </c>
      <c r="T29" s="631" t="s">
        <v>25</v>
      </c>
      <c r="U29" s="632">
        <f t="shared" si="13"/>
        <v>100</v>
      </c>
      <c r="V29" s="631" t="s">
        <v>25</v>
      </c>
      <c r="W29" s="632">
        <f t="shared" si="14"/>
        <v>100</v>
      </c>
      <c r="X29" s="1335"/>
      <c r="Y29" s="3472"/>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472"/>
      <c r="Q30" s="1334" t="str">
        <f t="shared" si="11"/>
        <v>建筑面积</v>
      </c>
      <c r="R30" s="631" t="s">
        <v>25</v>
      </c>
      <c r="S30" s="632" t="e">
        <f t="shared" si="12"/>
        <v>#N/A</v>
      </c>
      <c r="T30" s="631" t="s">
        <v>25</v>
      </c>
      <c r="U30" s="632" t="e">
        <f t="shared" si="13"/>
        <v>#N/A</v>
      </c>
      <c r="V30" s="631" t="s">
        <v>25</v>
      </c>
      <c r="W30" s="632" t="e">
        <f t="shared" si="14"/>
        <v>#N/A</v>
      </c>
      <c r="X30" s="1335"/>
      <c r="Y30" s="3472"/>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472"/>
      <c r="Q31" s="1327" t="str">
        <f t="shared" si="11"/>
        <v>是否封闭</v>
      </c>
      <c r="R31" s="627" t="s">
        <v>25</v>
      </c>
      <c r="S31" s="628">
        <f t="shared" si="12"/>
        <v>100</v>
      </c>
      <c r="T31" s="627" t="s">
        <v>25</v>
      </c>
      <c r="U31" s="628">
        <f t="shared" si="13"/>
        <v>100</v>
      </c>
      <c r="V31" s="627" t="s">
        <v>25</v>
      </c>
      <c r="W31" s="628">
        <f t="shared" si="14"/>
        <v>100</v>
      </c>
      <c r="X31" s="629"/>
      <c r="Y31" s="347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472" t="s">
        <v>2284</v>
      </c>
      <c r="Q32" s="1334">
        <f t="shared" si="11"/>
        <v>111</v>
      </c>
      <c r="R32" s="631" t="s">
        <v>25</v>
      </c>
      <c r="S32" s="632">
        <f t="shared" si="12"/>
        <v>100</v>
      </c>
      <c r="T32" s="631" t="s">
        <v>25</v>
      </c>
      <c r="U32" s="632">
        <f t="shared" si="13"/>
        <v>100</v>
      </c>
      <c r="V32" s="631" t="s">
        <v>25</v>
      </c>
      <c r="W32" s="632">
        <f t="shared" si="14"/>
        <v>100</v>
      </c>
      <c r="X32" s="1335"/>
      <c r="Y32" s="3472"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472"/>
      <c r="Q33" s="1334">
        <f t="shared" si="11"/>
        <v>111</v>
      </c>
      <c r="R33" s="631" t="s">
        <v>25</v>
      </c>
      <c r="S33" s="632">
        <f t="shared" si="12"/>
        <v>100</v>
      </c>
      <c r="T33" s="631" t="s">
        <v>25</v>
      </c>
      <c r="U33" s="632">
        <f t="shared" si="13"/>
        <v>100</v>
      </c>
      <c r="V33" s="631" t="s">
        <v>25</v>
      </c>
      <c r="W33" s="632">
        <f t="shared" si="14"/>
        <v>100</v>
      </c>
      <c r="X33" s="1335"/>
      <c r="Y33" s="347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472"/>
      <c r="Q34" s="1334">
        <f t="shared" si="11"/>
        <v>111</v>
      </c>
      <c r="R34" s="631" t="s">
        <v>25</v>
      </c>
      <c r="S34" s="632">
        <f t="shared" si="12"/>
        <v>100</v>
      </c>
      <c r="T34" s="631" t="s">
        <v>25</v>
      </c>
      <c r="U34" s="632">
        <f t="shared" si="13"/>
        <v>100</v>
      </c>
      <c r="V34" s="631" t="s">
        <v>25</v>
      </c>
      <c r="W34" s="632">
        <f t="shared" si="14"/>
        <v>100</v>
      </c>
      <c r="X34" s="1335"/>
      <c r="Y34" s="3472"/>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66" t="str">
        <f>A35</f>
        <v>成交单价（元/平方米）</v>
      </c>
      <c r="Q35" s="3466"/>
      <c r="R35" s="3467">
        <f>E35</f>
        <v>0</v>
      </c>
      <c r="S35" s="3467"/>
      <c r="T35" s="3467">
        <f>G35</f>
        <v>0</v>
      </c>
      <c r="U35" s="3467"/>
      <c r="V35" s="3467">
        <f>I35</f>
        <v>0</v>
      </c>
      <c r="W35" s="3467"/>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4">
        <f>F36+H36+J36</f>
        <v>0</v>
      </c>
      <c r="L36" s="3040"/>
      <c r="N36" s="3029"/>
      <c r="P36" s="3466" t="str">
        <f>A36</f>
        <v>比较价值（元/平方米）</v>
      </c>
      <c r="Q36" s="3466"/>
      <c r="R36" s="3467" t="e">
        <f>IF(E1="售价",ROUND(PRODUCT(R35,AA7:AA34),0),ROUND(PRODUCT(R35,AA7:AA34),1))</f>
        <v>#DIV/0!</v>
      </c>
      <c r="S36" s="3467"/>
      <c r="T36" s="3467" t="e">
        <f>IF(E1="售价",ROUND(PRODUCT(T35,AB7:AB34),0),ROUND(PRODUCT(T35,AB7:AB34),1))</f>
        <v>#DIV/0!</v>
      </c>
      <c r="U36" s="3467"/>
      <c r="V36" s="3467" t="e">
        <f>IF(E1="售价",ROUND(PRODUCT(V35,AC7:AC34),0),ROUND(PRODUCT(V35,AC7:AC34),1))</f>
        <v>#DIV/0!</v>
      </c>
      <c r="W36" s="346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68" t="str">
        <f>A37</f>
        <v>估价对象XX用房的比较价值（楼面单价，元/平方米）</v>
      </c>
      <c r="Q37" s="3469"/>
      <c r="R37" s="3470" t="e">
        <f>IF(E1="售价",ROUND(IF(D36="简单平均",AVERAGE(R36:W36),R36*F36+T36*H36+V36*J36),0),ROUND(IF(D36="简单平均",AVERAGE(R36:V36),R36*F36+T36*H36+V36*J36),1))</f>
        <v>#DIV/0!</v>
      </c>
      <c r="S37" s="3470"/>
      <c r="T37" s="3470"/>
      <c r="U37" s="3470"/>
      <c r="V37" s="3470"/>
      <c r="W37" s="3470"/>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2020-5</v>
      </c>
      <c r="D46" s="1188">
        <f>EDATE(C46,-1)</f>
        <v>43922</v>
      </c>
      <c r="E46" s="1188">
        <f t="shared" ref="E46:O46" si="16">EDATE(D46,-1)</f>
        <v>43891</v>
      </c>
      <c r="F46" s="1188">
        <f t="shared" si="16"/>
        <v>43862</v>
      </c>
      <c r="G46" s="1188">
        <f t="shared" si="16"/>
        <v>43831</v>
      </c>
      <c r="H46" s="1188">
        <f t="shared" si="16"/>
        <v>43800</v>
      </c>
      <c r="I46" s="1188">
        <f t="shared" si="16"/>
        <v>43770</v>
      </c>
      <c r="J46" s="1188">
        <f t="shared" si="16"/>
        <v>43739</v>
      </c>
      <c r="K46" s="1188">
        <f t="shared" si="16"/>
        <v>43709</v>
      </c>
      <c r="L46" s="1188">
        <f t="shared" si="16"/>
        <v>43678</v>
      </c>
      <c r="M46" s="1188">
        <f t="shared" si="16"/>
        <v>43647</v>
      </c>
      <c r="N46" s="1188">
        <f t="shared" si="16"/>
        <v>43617</v>
      </c>
      <c r="O46" s="1188">
        <f t="shared" si="16"/>
        <v>43586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J7" activeCellId="2" sqref="F7:F36 H7:H36 J7:J36"/>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49" t="s">
        <v>2254</v>
      </c>
      <c r="D4" s="3450"/>
      <c r="E4" s="3451" t="s">
        <v>2255</v>
      </c>
      <c r="F4" s="3452"/>
      <c r="G4" s="3449" t="s">
        <v>2256</v>
      </c>
      <c r="H4" s="3450"/>
      <c r="I4" s="3449" t="s">
        <v>2257</v>
      </c>
      <c r="J4" s="3450"/>
      <c r="K4" s="1966" t="s">
        <v>2258</v>
      </c>
      <c r="L4" s="3000"/>
      <c r="M4" s="3001"/>
      <c r="N4" s="3001"/>
      <c r="O4" s="3001"/>
      <c r="P4" s="3453" t="s">
        <v>2259</v>
      </c>
      <c r="Q4" s="3454"/>
      <c r="R4" s="3438" t="s">
        <v>2255</v>
      </c>
      <c r="S4" s="3439"/>
      <c r="T4" s="3438" t="s">
        <v>2256</v>
      </c>
      <c r="U4" s="3439"/>
      <c r="V4" s="3459" t="s">
        <v>2257</v>
      </c>
      <c r="W4" s="3459"/>
      <c r="X4" s="1666"/>
      <c r="Y4" s="3438" t="s">
        <v>2259</v>
      </c>
      <c r="Z4" s="3439"/>
      <c r="AA4" s="3446" t="s">
        <v>2255</v>
      </c>
      <c r="AB4" s="3447" t="s">
        <v>2256</v>
      </c>
      <c r="AC4" s="3446" t="s">
        <v>2257</v>
      </c>
    </row>
    <row r="5" spans="1:30" ht="15">
      <c r="A5" s="1668"/>
      <c r="B5" s="1669"/>
      <c r="C5" s="3434" t="s">
        <v>2260</v>
      </c>
      <c r="D5" s="3435"/>
      <c r="E5" s="3464" t="s">
        <v>2261</v>
      </c>
      <c r="F5" s="3461"/>
      <c r="G5" s="3434" t="s">
        <v>2262</v>
      </c>
      <c r="H5" s="3435"/>
      <c r="I5" s="3434" t="s">
        <v>2263</v>
      </c>
      <c r="J5" s="3435"/>
      <c r="K5" s="1966"/>
      <c r="L5" s="3000"/>
      <c r="M5" s="3001"/>
      <c r="N5" s="3001"/>
      <c r="O5" s="3001"/>
      <c r="P5" s="3455"/>
      <c r="Q5" s="3456"/>
      <c r="R5" s="3440"/>
      <c r="S5" s="3441"/>
      <c r="T5" s="3440"/>
      <c r="U5" s="3441"/>
      <c r="V5" s="3459"/>
      <c r="W5" s="3459"/>
      <c r="X5" s="1666"/>
      <c r="Y5" s="3440"/>
      <c r="Z5" s="3441"/>
      <c r="AA5" s="3447"/>
      <c r="AB5" s="3447"/>
      <c r="AC5" s="3447"/>
    </row>
    <row r="6" spans="1:30" ht="15.75" thickBot="1">
      <c r="A6" s="1671"/>
      <c r="B6" s="1672"/>
      <c r="C6" s="3432" t="s">
        <v>2264</v>
      </c>
      <c r="D6" s="3433"/>
      <c r="E6" s="3462" t="s">
        <v>2264</v>
      </c>
      <c r="F6" s="3463"/>
      <c r="G6" s="3432" t="s">
        <v>2264</v>
      </c>
      <c r="H6" s="3433"/>
      <c r="I6" s="3432" t="s">
        <v>2264</v>
      </c>
      <c r="J6" s="3433"/>
      <c r="K6" s="1966" t="s">
        <v>2265</v>
      </c>
      <c r="L6" s="3000"/>
      <c r="M6" s="3001"/>
      <c r="N6" s="3001"/>
      <c r="O6" s="3001"/>
      <c r="P6" s="3457"/>
      <c r="Q6" s="3458"/>
      <c r="R6" s="3440"/>
      <c r="S6" s="3441"/>
      <c r="T6" s="3442"/>
      <c r="U6" s="3443"/>
      <c r="V6" s="3459"/>
      <c r="W6" s="3459"/>
      <c r="X6" s="1666"/>
      <c r="Y6" s="3442"/>
      <c r="Z6" s="3443"/>
      <c r="AA6" s="3448"/>
      <c r="AB6" s="3448"/>
      <c r="AC6" s="3448"/>
    </row>
    <row r="7" spans="1:30" s="1685" customFormat="1" ht="15.75" thickBot="1">
      <c r="A7" s="1673" t="s">
        <v>2266</v>
      </c>
      <c r="B7" s="1674"/>
      <c r="C7" s="1675">
        <f>'数据-取费表'!B2</f>
        <v>43964</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36" t="s">
        <v>2267</v>
      </c>
      <c r="Q7" s="3444"/>
      <c r="R7" s="1681" t="s">
        <v>25</v>
      </c>
      <c r="S7" s="1682">
        <f t="shared" ref="S7:S15" si="0">F7</f>
        <v>0</v>
      </c>
      <c r="T7" s="1681" t="s">
        <v>25</v>
      </c>
      <c r="U7" s="1682">
        <f t="shared" ref="U7:U15" si="1">H7</f>
        <v>0</v>
      </c>
      <c r="V7" s="1681" t="s">
        <v>25</v>
      </c>
      <c r="W7" s="1682">
        <f t="shared" ref="W7:W15" si="2">J7</f>
        <v>0</v>
      </c>
      <c r="X7" s="1683"/>
      <c r="Y7" s="3436" t="s">
        <v>2267</v>
      </c>
      <c r="Z7" s="3437"/>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36" t="s">
        <v>2270</v>
      </c>
      <c r="Q8" s="3437"/>
      <c r="R8" s="1681" t="s">
        <v>25</v>
      </c>
      <c r="S8" s="1682">
        <f t="shared" si="0"/>
        <v>0</v>
      </c>
      <c r="T8" s="1681" t="s">
        <v>25</v>
      </c>
      <c r="U8" s="1682">
        <f t="shared" si="1"/>
        <v>0</v>
      </c>
      <c r="V8" s="1681" t="s">
        <v>25</v>
      </c>
      <c r="W8" s="1682">
        <f t="shared" si="2"/>
        <v>0</v>
      </c>
      <c r="X8" s="1683"/>
      <c r="Y8" s="3436" t="s">
        <v>2270</v>
      </c>
      <c r="Z8" s="3437"/>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22" t="s">
        <v>2273</v>
      </c>
      <c r="Q9" s="1635" t="str">
        <f t="shared" ref="Q9:Q15" si="6">B9</f>
        <v>用途</v>
      </c>
      <c r="R9" s="1681" t="s">
        <v>25</v>
      </c>
      <c r="S9" s="1682">
        <f t="shared" si="0"/>
        <v>100</v>
      </c>
      <c r="T9" s="1681" t="s">
        <v>25</v>
      </c>
      <c r="U9" s="1682">
        <f t="shared" si="1"/>
        <v>100</v>
      </c>
      <c r="V9" s="1681" t="s">
        <v>25</v>
      </c>
      <c r="W9" s="1682">
        <f t="shared" si="2"/>
        <v>100</v>
      </c>
      <c r="X9" s="1683"/>
      <c r="Y9" s="3280"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100</v>
      </c>
      <c r="G10" s="1758"/>
      <c r="H10" s="1698">
        <f>ROUND(100/'数据-取费表'!B14,0)</f>
        <v>100</v>
      </c>
      <c r="I10" s="1758"/>
      <c r="J10" s="1698">
        <f>ROUND(100/'数据-取费表'!B14,0)</f>
        <v>100</v>
      </c>
      <c r="K10" s="1970"/>
      <c r="L10" s="3002"/>
      <c r="M10" s="3003"/>
      <c r="N10" s="3003"/>
      <c r="O10" s="3048"/>
      <c r="P10" s="3422"/>
      <c r="Q10" s="1635" t="str">
        <f t="shared" si="6"/>
        <v>土地使用年限（年）</v>
      </c>
      <c r="R10" s="1681" t="s">
        <v>25</v>
      </c>
      <c r="S10" s="1682">
        <f t="shared" si="0"/>
        <v>100</v>
      </c>
      <c r="T10" s="1681" t="s">
        <v>25</v>
      </c>
      <c r="U10" s="1682">
        <f t="shared" si="1"/>
        <v>100</v>
      </c>
      <c r="V10" s="1681" t="s">
        <v>25</v>
      </c>
      <c r="W10" s="1682">
        <f t="shared" si="2"/>
        <v>100</v>
      </c>
      <c r="X10" s="1683"/>
      <c r="Y10" s="3280"/>
      <c r="Z10" s="1694" t="str">
        <f t="shared" si="7"/>
        <v>土地使用年限（年）</v>
      </c>
      <c r="AA10" s="1684">
        <f t="shared" si="3"/>
        <v>1</v>
      </c>
      <c r="AB10" s="1684">
        <f t="shared" si="4"/>
        <v>1</v>
      </c>
      <c r="AC10" s="1684">
        <f t="shared" si="5"/>
        <v>1</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22"/>
      <c r="Q11" s="1635" t="str">
        <f t="shared" si="6"/>
        <v>容积率</v>
      </c>
      <c r="R11" s="1681" t="s">
        <v>25</v>
      </c>
      <c r="S11" s="1682" t="e">
        <f t="shared" si="0"/>
        <v>#N/A</v>
      </c>
      <c r="T11" s="1681" t="s">
        <v>25</v>
      </c>
      <c r="U11" s="1682" t="e">
        <f t="shared" si="1"/>
        <v>#N/A</v>
      </c>
      <c r="V11" s="1681" t="s">
        <v>25</v>
      </c>
      <c r="W11" s="1682" t="e">
        <f t="shared" si="2"/>
        <v>#N/A</v>
      </c>
      <c r="X11" s="1683"/>
      <c r="Y11" s="3280"/>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22"/>
      <c r="Q12" s="1635" t="str">
        <f t="shared" si="6"/>
        <v>配建</v>
      </c>
      <c r="R12" s="1681" t="s">
        <v>25</v>
      </c>
      <c r="S12" s="1682">
        <f t="shared" si="0"/>
        <v>100</v>
      </c>
      <c r="T12" s="1681" t="s">
        <v>25</v>
      </c>
      <c r="U12" s="1682">
        <f t="shared" si="1"/>
        <v>100</v>
      </c>
      <c r="V12" s="1681" t="s">
        <v>25</v>
      </c>
      <c r="W12" s="1682">
        <f t="shared" si="2"/>
        <v>100</v>
      </c>
      <c r="X12" s="1683"/>
      <c r="Y12" s="328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22"/>
      <c r="Q13" s="1635">
        <f t="shared" si="6"/>
        <v>111</v>
      </c>
      <c r="R13" s="1681" t="s">
        <v>25</v>
      </c>
      <c r="S13" s="1682">
        <f t="shared" si="0"/>
        <v>100</v>
      </c>
      <c r="T13" s="1681" t="s">
        <v>25</v>
      </c>
      <c r="U13" s="1682">
        <f t="shared" si="1"/>
        <v>100</v>
      </c>
      <c r="V13" s="1681" t="s">
        <v>25</v>
      </c>
      <c r="W13" s="1682">
        <f t="shared" si="2"/>
        <v>100</v>
      </c>
      <c r="X13" s="1683"/>
      <c r="Y13" s="328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22"/>
      <c r="Q14" s="1635">
        <f t="shared" si="6"/>
        <v>111</v>
      </c>
      <c r="R14" s="1681" t="s">
        <v>25</v>
      </c>
      <c r="S14" s="1682">
        <f t="shared" si="0"/>
        <v>100</v>
      </c>
      <c r="T14" s="1681" t="s">
        <v>25</v>
      </c>
      <c r="U14" s="1682">
        <f t="shared" si="1"/>
        <v>100</v>
      </c>
      <c r="V14" s="1681" t="s">
        <v>25</v>
      </c>
      <c r="W14" s="1682">
        <f t="shared" si="2"/>
        <v>100</v>
      </c>
      <c r="X14" s="1683"/>
      <c r="Y14" s="3280"/>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25" t="s">
        <v>2278</v>
      </c>
      <c r="Q15" s="1616" t="str">
        <f t="shared" si="6"/>
        <v>居住社区成熟度</v>
      </c>
      <c r="R15" s="1726" t="s">
        <v>25</v>
      </c>
      <c r="S15" s="1727">
        <f t="shared" si="0"/>
        <v>100</v>
      </c>
      <c r="T15" s="1726" t="s">
        <v>25</v>
      </c>
      <c r="U15" s="1727">
        <f t="shared" si="1"/>
        <v>100</v>
      </c>
      <c r="V15" s="1726" t="s">
        <v>25</v>
      </c>
      <c r="W15" s="1727">
        <f t="shared" si="2"/>
        <v>100</v>
      </c>
      <c r="X15" s="1666"/>
      <c r="Y15" s="3425"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26"/>
      <c r="Q16" s="1616"/>
      <c r="R16" s="1726"/>
      <c r="S16" s="1727"/>
      <c r="T16" s="1726"/>
      <c r="U16" s="1727"/>
      <c r="V16" s="1726"/>
      <c r="W16" s="1727"/>
      <c r="X16" s="1666"/>
      <c r="Y16" s="3426"/>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26"/>
      <c r="Q17" s="1616" t="str">
        <f>B17</f>
        <v>商业繁华度</v>
      </c>
      <c r="R17" s="1726" t="s">
        <v>25</v>
      </c>
      <c r="S17" s="1727">
        <f>F17</f>
        <v>100</v>
      </c>
      <c r="T17" s="1726" t="s">
        <v>25</v>
      </c>
      <c r="U17" s="1727">
        <f>H17</f>
        <v>100</v>
      </c>
      <c r="V17" s="1726" t="s">
        <v>25</v>
      </c>
      <c r="W17" s="1727">
        <f>J17</f>
        <v>100</v>
      </c>
      <c r="X17" s="1666"/>
      <c r="Y17" s="342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26"/>
      <c r="Q18" s="1616"/>
      <c r="R18" s="1726"/>
      <c r="S18" s="1727"/>
      <c r="T18" s="1726"/>
      <c r="U18" s="1727"/>
      <c r="V18" s="1726"/>
      <c r="W18" s="1727"/>
      <c r="X18" s="1666"/>
      <c r="Y18" s="3426"/>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26"/>
      <c r="Q19" s="1616" t="str">
        <f>B19</f>
        <v>办公集聚程度</v>
      </c>
      <c r="R19" s="1726" t="s">
        <v>25</v>
      </c>
      <c r="S19" s="1727">
        <f>F19</f>
        <v>100</v>
      </c>
      <c r="T19" s="1726" t="s">
        <v>25</v>
      </c>
      <c r="U19" s="1727">
        <f>H19</f>
        <v>100</v>
      </c>
      <c r="V19" s="1726" t="s">
        <v>25</v>
      </c>
      <c r="W19" s="1727">
        <f>J19</f>
        <v>100</v>
      </c>
      <c r="X19" s="1666"/>
      <c r="Y19" s="342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26"/>
      <c r="Q20" s="1616"/>
      <c r="R20" s="1726"/>
      <c r="S20" s="1727"/>
      <c r="T20" s="1726"/>
      <c r="U20" s="1727"/>
      <c r="V20" s="1726"/>
      <c r="W20" s="1727"/>
      <c r="X20" s="1666"/>
      <c r="Y20" s="3426"/>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26"/>
      <c r="Q21" s="1616" t="str">
        <f>B21</f>
        <v>交通便捷度</v>
      </c>
      <c r="R21" s="1726" t="s">
        <v>25</v>
      </c>
      <c r="S21" s="1727">
        <f>F21</f>
        <v>100</v>
      </c>
      <c r="T21" s="1726" t="s">
        <v>25</v>
      </c>
      <c r="U21" s="1727">
        <f>H21</f>
        <v>100</v>
      </c>
      <c r="V21" s="1726" t="s">
        <v>25</v>
      </c>
      <c r="W21" s="1727">
        <f>J21</f>
        <v>100</v>
      </c>
      <c r="X21" s="1666"/>
      <c r="Y21" s="342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26"/>
      <c r="Q22" s="1616"/>
      <c r="R22" s="1726"/>
      <c r="S22" s="1727"/>
      <c r="T22" s="1726"/>
      <c r="U22" s="1727"/>
      <c r="V22" s="1726"/>
      <c r="W22" s="1727"/>
      <c r="X22" s="1666"/>
      <c r="Y22" s="3426"/>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26"/>
      <c r="Q23" s="1616" t="str">
        <f t="shared" ref="Q23:Q37" si="8">B23</f>
        <v>区域土地利用方向</v>
      </c>
      <c r="R23" s="1726" t="s">
        <v>25</v>
      </c>
      <c r="S23" s="1727">
        <f>F23</f>
        <v>100</v>
      </c>
      <c r="T23" s="1726" t="s">
        <v>25</v>
      </c>
      <c r="U23" s="1727">
        <f>H23</f>
        <v>100</v>
      </c>
      <c r="V23" s="1726" t="s">
        <v>25</v>
      </c>
      <c r="W23" s="1727">
        <f>J23</f>
        <v>100</v>
      </c>
      <c r="X23" s="1666"/>
      <c r="Y23" s="342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26"/>
      <c r="Q24" s="1616"/>
      <c r="R24" s="1726"/>
      <c r="S24" s="1727"/>
      <c r="T24" s="1726"/>
      <c r="U24" s="1727"/>
      <c r="V24" s="1726"/>
      <c r="W24" s="1727"/>
      <c r="X24" s="1666"/>
      <c r="Y24" s="3426"/>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26"/>
      <c r="Q25" s="1616" t="str">
        <f t="shared" si="8"/>
        <v>自然及人文环境状况</v>
      </c>
      <c r="R25" s="1726" t="s">
        <v>25</v>
      </c>
      <c r="S25" s="1727">
        <f>F25</f>
        <v>100</v>
      </c>
      <c r="T25" s="1726" t="s">
        <v>25</v>
      </c>
      <c r="U25" s="1727">
        <f>H25</f>
        <v>100</v>
      </c>
      <c r="V25" s="1726" t="s">
        <v>25</v>
      </c>
      <c r="W25" s="1727">
        <f>J25</f>
        <v>100</v>
      </c>
      <c r="X25" s="1666"/>
      <c r="Y25" s="342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26"/>
      <c r="Q26" s="1616"/>
      <c r="R26" s="1726"/>
      <c r="S26" s="1727"/>
      <c r="T26" s="1726"/>
      <c r="U26" s="1727"/>
      <c r="V26" s="1726"/>
      <c r="W26" s="1727"/>
      <c r="X26" s="1666"/>
      <c r="Y26" s="3426"/>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26"/>
      <c r="Q27" s="1635" t="str">
        <f t="shared" ref="Q27" si="9">B27</f>
        <v>公共配套设施</v>
      </c>
      <c r="R27" s="1681" t="s">
        <v>25</v>
      </c>
      <c r="S27" s="1682">
        <f>F27</f>
        <v>100</v>
      </c>
      <c r="T27" s="1681" t="s">
        <v>25</v>
      </c>
      <c r="U27" s="1682">
        <f>H27</f>
        <v>100</v>
      </c>
      <c r="V27" s="1681" t="s">
        <v>25</v>
      </c>
      <c r="W27" s="1682">
        <f>J27</f>
        <v>100</v>
      </c>
      <c r="X27" s="1666"/>
      <c r="Y27" s="342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26"/>
      <c r="Q28" s="1616"/>
      <c r="R28" s="1726"/>
      <c r="S28" s="1727"/>
      <c r="T28" s="1726"/>
      <c r="U28" s="1727"/>
      <c r="V28" s="1726"/>
      <c r="W28" s="1727"/>
      <c r="X28" s="1666"/>
      <c r="Y28" s="3426"/>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26"/>
      <c r="Q29" s="1635" t="str">
        <f t="shared" si="8"/>
        <v>基础设施水平</v>
      </c>
      <c r="R29" s="1681" t="s">
        <v>25</v>
      </c>
      <c r="S29" s="1682">
        <f>F29</f>
        <v>100</v>
      </c>
      <c r="T29" s="1681" t="s">
        <v>25</v>
      </c>
      <c r="U29" s="1682">
        <f>H29</f>
        <v>100</v>
      </c>
      <c r="V29" s="1681" t="s">
        <v>25</v>
      </c>
      <c r="W29" s="1682">
        <f>J29</f>
        <v>100</v>
      </c>
      <c r="X29" s="1683"/>
      <c r="Y29" s="342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26"/>
      <c r="Q30" s="1635"/>
      <c r="R30" s="1681"/>
      <c r="S30" s="1682"/>
      <c r="T30" s="1681"/>
      <c r="U30" s="1682"/>
      <c r="V30" s="1681"/>
      <c r="W30" s="1682"/>
      <c r="X30" s="1683"/>
      <c r="Y30" s="3426"/>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2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6"/>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26"/>
      <c r="Q32" s="1616" t="str">
        <f t="shared" si="8"/>
        <v>毗邻道路的类型与等级</v>
      </c>
      <c r="R32" s="1726" t="s">
        <v>25</v>
      </c>
      <c r="S32" s="1727">
        <f t="shared" si="10"/>
        <v>100</v>
      </c>
      <c r="T32" s="1726" t="s">
        <v>25</v>
      </c>
      <c r="U32" s="1727">
        <f t="shared" si="11"/>
        <v>100</v>
      </c>
      <c r="V32" s="1726" t="s">
        <v>25</v>
      </c>
      <c r="W32" s="1727">
        <f t="shared" si="12"/>
        <v>100</v>
      </c>
      <c r="X32" s="1666"/>
      <c r="Y32" s="342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26"/>
      <c r="Q33" s="1616"/>
      <c r="R33" s="1726"/>
      <c r="S33" s="1727"/>
      <c r="T33" s="1726"/>
      <c r="U33" s="1727"/>
      <c r="V33" s="1726"/>
      <c r="W33" s="1727"/>
      <c r="X33" s="1666"/>
      <c r="Y33" s="3426"/>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26"/>
      <c r="Q34" s="1616" t="str">
        <f t="shared" si="8"/>
        <v>土地级别</v>
      </c>
      <c r="R34" s="1726" t="s">
        <v>25</v>
      </c>
      <c r="S34" s="1727">
        <f t="shared" si="10"/>
        <v>100</v>
      </c>
      <c r="T34" s="1726" t="s">
        <v>25</v>
      </c>
      <c r="U34" s="1727">
        <f t="shared" si="11"/>
        <v>100</v>
      </c>
      <c r="V34" s="1726" t="s">
        <v>25</v>
      </c>
      <c r="W34" s="1727">
        <f t="shared" si="12"/>
        <v>100</v>
      </c>
      <c r="X34" s="1666"/>
      <c r="Y34" s="342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26"/>
      <c r="Q35" s="1616">
        <f t="shared" si="8"/>
        <v>111</v>
      </c>
      <c r="R35" s="1726" t="s">
        <v>25</v>
      </c>
      <c r="S35" s="1727">
        <f t="shared" si="10"/>
        <v>100</v>
      </c>
      <c r="T35" s="1726" t="s">
        <v>25</v>
      </c>
      <c r="U35" s="1727">
        <f t="shared" si="11"/>
        <v>100</v>
      </c>
      <c r="V35" s="1726" t="s">
        <v>25</v>
      </c>
      <c r="W35" s="1727">
        <f t="shared" si="12"/>
        <v>100</v>
      </c>
      <c r="X35" s="1666"/>
      <c r="Y35" s="342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65" t="s">
        <v>2284</v>
      </c>
      <c r="Q36" s="1616">
        <f t="shared" si="8"/>
        <v>111</v>
      </c>
      <c r="R36" s="1726" t="s">
        <v>25</v>
      </c>
      <c r="S36" s="1727">
        <f t="shared" si="10"/>
        <v>100</v>
      </c>
      <c r="T36" s="1726" t="s">
        <v>25</v>
      </c>
      <c r="U36" s="1727">
        <f t="shared" si="11"/>
        <v>100</v>
      </c>
      <c r="V36" s="1726" t="s">
        <v>25</v>
      </c>
      <c r="W36" s="1727">
        <f t="shared" si="12"/>
        <v>100</v>
      </c>
      <c r="X36" s="1666"/>
      <c r="Y36" s="3430"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30"/>
      <c r="Q37" s="1616">
        <f t="shared" si="8"/>
        <v>111</v>
      </c>
      <c r="R37" s="1768" t="s">
        <v>25</v>
      </c>
      <c r="S37" s="1769">
        <f t="shared" si="10"/>
        <v>100</v>
      </c>
      <c r="T37" s="1768" t="s">
        <v>25</v>
      </c>
      <c r="U37" s="1769">
        <f t="shared" si="11"/>
        <v>100</v>
      </c>
      <c r="V37" s="1768" t="s">
        <v>25</v>
      </c>
      <c r="W37" s="1769">
        <f t="shared" si="12"/>
        <v>100</v>
      </c>
      <c r="X37" s="1770"/>
      <c r="Y37" s="3430"/>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30"/>
      <c r="Q38" s="1616" t="str">
        <f>B38</f>
        <v>宗地面积</v>
      </c>
      <c r="R38" s="1726" t="s">
        <v>25</v>
      </c>
      <c r="S38" s="1727" t="e">
        <f t="shared" si="10"/>
        <v>#N/A</v>
      </c>
      <c r="T38" s="1726" t="s">
        <v>25</v>
      </c>
      <c r="U38" s="1727" t="e">
        <f t="shared" si="11"/>
        <v>#N/A</v>
      </c>
      <c r="V38" s="1726" t="s">
        <v>25</v>
      </c>
      <c r="W38" s="1727" t="e">
        <f t="shared" si="12"/>
        <v>#N/A</v>
      </c>
      <c r="X38" s="1666"/>
      <c r="Y38" s="3430"/>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30"/>
      <c r="Q39" s="1616" t="str">
        <f t="shared" ref="Q39:Q45" si="14">B39</f>
        <v>宗地形状</v>
      </c>
      <c r="R39" s="1726" t="s">
        <v>25</v>
      </c>
      <c r="S39" s="1727">
        <f t="shared" si="10"/>
        <v>100</v>
      </c>
      <c r="T39" s="1726" t="s">
        <v>25</v>
      </c>
      <c r="U39" s="1727">
        <f t="shared" si="11"/>
        <v>100</v>
      </c>
      <c r="V39" s="1726" t="s">
        <v>25</v>
      </c>
      <c r="W39" s="1727">
        <f t="shared" si="12"/>
        <v>100</v>
      </c>
      <c r="X39" s="1666"/>
      <c r="Y39" s="3430"/>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30"/>
      <c r="Q40" s="1616" t="str">
        <f t="shared" si="14"/>
        <v>临街宽度及深度</v>
      </c>
      <c r="R40" s="1726" t="s">
        <v>25</v>
      </c>
      <c r="S40" s="1727">
        <f t="shared" si="10"/>
        <v>100</v>
      </c>
      <c r="T40" s="1726" t="s">
        <v>25</v>
      </c>
      <c r="U40" s="1727">
        <f t="shared" si="11"/>
        <v>100</v>
      </c>
      <c r="V40" s="1726" t="s">
        <v>25</v>
      </c>
      <c r="W40" s="1727">
        <f t="shared" si="12"/>
        <v>100</v>
      </c>
      <c r="X40" s="1666"/>
      <c r="Y40" s="3430"/>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30"/>
      <c r="Q41" s="1616" t="str">
        <f t="shared" si="14"/>
        <v>宗地开发程度</v>
      </c>
      <c r="R41" s="1681" t="s">
        <v>25</v>
      </c>
      <c r="S41" s="1682">
        <f t="shared" si="10"/>
        <v>100</v>
      </c>
      <c r="T41" s="1681" t="s">
        <v>25</v>
      </c>
      <c r="U41" s="1682">
        <f t="shared" si="11"/>
        <v>100</v>
      </c>
      <c r="V41" s="1681" t="s">
        <v>25</v>
      </c>
      <c r="W41" s="1682">
        <f t="shared" si="12"/>
        <v>100</v>
      </c>
      <c r="X41" s="1683"/>
      <c r="Y41" s="3430"/>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30" t="s">
        <v>2284</v>
      </c>
      <c r="Q42" s="1616" t="str">
        <f t="shared" si="14"/>
        <v>工程地质条件</v>
      </c>
      <c r="R42" s="1726" t="s">
        <v>25</v>
      </c>
      <c r="S42" s="1727">
        <f t="shared" si="10"/>
        <v>100</v>
      </c>
      <c r="T42" s="1726" t="s">
        <v>25</v>
      </c>
      <c r="U42" s="1727">
        <f t="shared" si="11"/>
        <v>100</v>
      </c>
      <c r="V42" s="1726" t="s">
        <v>25</v>
      </c>
      <c r="W42" s="1727">
        <f t="shared" si="12"/>
        <v>100</v>
      </c>
      <c r="X42" s="1666"/>
      <c r="Y42" s="3430"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30"/>
      <c r="Q43" s="1616">
        <f t="shared" si="14"/>
        <v>111</v>
      </c>
      <c r="R43" s="1726" t="s">
        <v>25</v>
      </c>
      <c r="S43" s="1727">
        <f t="shared" si="10"/>
        <v>100</v>
      </c>
      <c r="T43" s="1726" t="s">
        <v>25</v>
      </c>
      <c r="U43" s="1727">
        <f t="shared" si="11"/>
        <v>100</v>
      </c>
      <c r="V43" s="1726" t="s">
        <v>25</v>
      </c>
      <c r="W43" s="1727">
        <f t="shared" si="12"/>
        <v>100</v>
      </c>
      <c r="X43" s="1666"/>
      <c r="Y43" s="343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30"/>
      <c r="Q44" s="1616">
        <f t="shared" si="14"/>
        <v>111</v>
      </c>
      <c r="R44" s="1726" t="s">
        <v>25</v>
      </c>
      <c r="S44" s="1727">
        <f t="shared" si="10"/>
        <v>100</v>
      </c>
      <c r="T44" s="1726" t="s">
        <v>25</v>
      </c>
      <c r="U44" s="1727">
        <f t="shared" si="11"/>
        <v>100</v>
      </c>
      <c r="V44" s="1726" t="s">
        <v>25</v>
      </c>
      <c r="W44" s="1727">
        <f t="shared" si="12"/>
        <v>100</v>
      </c>
      <c r="X44" s="1666"/>
      <c r="Y44" s="3430"/>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30"/>
      <c r="Q45" s="1616">
        <f t="shared" si="14"/>
        <v>111</v>
      </c>
      <c r="R45" s="1768" t="s">
        <v>25</v>
      </c>
      <c r="S45" s="1769">
        <f t="shared" si="10"/>
        <v>100</v>
      </c>
      <c r="T45" s="1768" t="s">
        <v>25</v>
      </c>
      <c r="U45" s="1769">
        <f t="shared" si="11"/>
        <v>100</v>
      </c>
      <c r="V45" s="1768" t="s">
        <v>25</v>
      </c>
      <c r="W45" s="1769">
        <f t="shared" si="12"/>
        <v>100</v>
      </c>
      <c r="X45" s="1770"/>
      <c r="Y45" s="3430"/>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22" t="str">
        <f>A46</f>
        <v>成交单价</v>
      </c>
      <c r="Q46" s="3422"/>
      <c r="R46" s="3459">
        <f>E46</f>
        <v>0</v>
      </c>
      <c r="S46" s="3459"/>
      <c r="T46" s="3459">
        <f>G46</f>
        <v>0</v>
      </c>
      <c r="U46" s="3459"/>
      <c r="V46" s="3459">
        <f>I46</f>
        <v>0</v>
      </c>
      <c r="W46" s="3459"/>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4">
        <f>F47+H47+J47</f>
        <v>0</v>
      </c>
      <c r="L47" s="3006"/>
      <c r="P47" s="3422" t="str">
        <f>A47</f>
        <v>比较价值（元/平方米）</v>
      </c>
      <c r="Q47" s="3422"/>
      <c r="R47" s="3508" t="e">
        <f>ROUND(PRODUCT(R46,AA7:AA45),0)</f>
        <v>#DIV/0!</v>
      </c>
      <c r="S47" s="3508"/>
      <c r="T47" s="3508" t="e">
        <f>ROUND(PRODUCT(T46,AB7:AB45),0)</f>
        <v>#DIV/0!</v>
      </c>
      <c r="U47" s="3508"/>
      <c r="V47" s="3508" t="e">
        <f>ROUND(PRODUCT(V46,AC7:AC45),0)</f>
        <v>#DIV/0!</v>
      </c>
      <c r="W47" s="3508"/>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19" t="str">
        <f>A48</f>
        <v>估价对象XX用房的比较价值（楼面单价，元/平方米）</v>
      </c>
      <c r="Q48" s="3420"/>
      <c r="R48" s="3509" t="e">
        <f>ROUND(IF(D47="简单平均",AVERAGE(R47:W47),R47*F47+T47*H47+V47*J47),0)</f>
        <v>#DIV/0!</v>
      </c>
      <c r="S48" s="3509"/>
      <c r="T48" s="3509"/>
      <c r="U48" s="3509"/>
      <c r="V48" s="3509"/>
      <c r="W48" s="3509"/>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2020-5-1</v>
      </c>
      <c r="D68" s="2041">
        <f>EDATE(C68,-3)</f>
        <v>43862</v>
      </c>
      <c r="E68" s="2041">
        <f t="shared" ref="E68:O68" si="18">EDATE(D68,-3)</f>
        <v>43770</v>
      </c>
      <c r="F68" s="2041">
        <f t="shared" si="18"/>
        <v>43678</v>
      </c>
      <c r="G68" s="2041">
        <f t="shared" si="18"/>
        <v>43586</v>
      </c>
      <c r="H68" s="2041">
        <f t="shared" si="18"/>
        <v>43497</v>
      </c>
      <c r="I68" s="2041">
        <f t="shared" si="18"/>
        <v>43405</v>
      </c>
      <c r="J68" s="2041">
        <f t="shared" si="18"/>
        <v>43313</v>
      </c>
      <c r="K68" s="2041">
        <f t="shared" si="18"/>
        <v>43221</v>
      </c>
      <c r="L68" s="2041">
        <f t="shared" si="18"/>
        <v>43132</v>
      </c>
      <c r="M68" s="2041">
        <f t="shared" si="18"/>
        <v>43040</v>
      </c>
      <c r="N68" s="2041">
        <f t="shared" si="18"/>
        <v>42948</v>
      </c>
      <c r="O68" s="2041">
        <f t="shared" si="18"/>
        <v>42856</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2020-2</v>
      </c>
      <c r="D70" s="2049" t="str">
        <f>YEAR(D68)&amp;"-"&amp;ROUNDUP(MONTH(D68)/3,0)</f>
        <v>2020-1</v>
      </c>
      <c r="E70" s="2049" t="str">
        <f t="shared" ref="E70:O70" si="19">YEAR(E68)&amp;"-"&amp;ROUNDUP(MONTH(E68)/3,0)</f>
        <v>2019-4</v>
      </c>
      <c r="F70" s="2049" t="str">
        <f t="shared" si="19"/>
        <v>2019-3</v>
      </c>
      <c r="G70" s="2049" t="str">
        <f t="shared" si="19"/>
        <v>2019-2</v>
      </c>
      <c r="H70" s="2049" t="str">
        <f t="shared" si="19"/>
        <v>2019-1</v>
      </c>
      <c r="I70" s="2049" t="str">
        <f t="shared" si="19"/>
        <v>2018-4</v>
      </c>
      <c r="J70" s="2049" t="str">
        <f t="shared" si="19"/>
        <v>2018-3</v>
      </c>
      <c r="K70" s="2049" t="str">
        <f t="shared" si="19"/>
        <v>2018-2</v>
      </c>
      <c r="L70" s="2049" t="str">
        <f t="shared" si="19"/>
        <v>2018-1</v>
      </c>
      <c r="M70" s="2049" t="str">
        <f t="shared" si="19"/>
        <v>2017-4</v>
      </c>
      <c r="N70" s="2049" t="str">
        <f t="shared" si="19"/>
        <v>2017-3</v>
      </c>
      <c r="O70" s="2049" t="str">
        <f t="shared" si="19"/>
        <v>2017-2</v>
      </c>
      <c r="P70" s="2050"/>
    </row>
    <row r="71" spans="1:17" s="1685" customFormat="1" ht="29.25" customHeight="1">
      <c r="A71" s="2052" t="s">
        <v>2484</v>
      </c>
      <c r="B71" s="2053" t="str">
        <f>"北京市平均增长率"&amp;TEXT(SUMIF(基准地价修正!N21:N25,A71,基准地价修正!P21:P25),"0.00%")</f>
        <v>北京市平均增长率1.25%</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J7" activeCellId="2" sqref="F7:F36 H7:H36 J7:J3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89" t="s">
        <v>2254</v>
      </c>
      <c r="D4" s="3490"/>
      <c r="E4" s="3491" t="s">
        <v>2255</v>
      </c>
      <c r="F4" s="3492"/>
      <c r="G4" s="3489" t="s">
        <v>2256</v>
      </c>
      <c r="H4" s="3490"/>
      <c r="I4" s="3489" t="s">
        <v>2257</v>
      </c>
      <c r="J4" s="3490"/>
      <c r="K4" s="496" t="s">
        <v>2258</v>
      </c>
      <c r="L4" s="3028"/>
      <c r="M4" s="3029"/>
      <c r="N4" s="3029"/>
      <c r="O4" s="3029"/>
      <c r="P4" s="3493" t="s">
        <v>2259</v>
      </c>
      <c r="Q4" s="3494"/>
      <c r="R4" s="3476" t="s">
        <v>2255</v>
      </c>
      <c r="S4" s="3477"/>
      <c r="T4" s="3476" t="s">
        <v>2256</v>
      </c>
      <c r="U4" s="3477"/>
      <c r="V4" s="3499" t="s">
        <v>2257</v>
      </c>
      <c r="W4" s="3499"/>
      <c r="X4" s="1335"/>
      <c r="Y4" s="3476" t="s">
        <v>2259</v>
      </c>
      <c r="Z4" s="3477"/>
      <c r="AA4" s="3486" t="s">
        <v>2255</v>
      </c>
      <c r="AB4" s="3487" t="s">
        <v>2256</v>
      </c>
      <c r="AC4" s="3486" t="s">
        <v>2257</v>
      </c>
    </row>
    <row r="5" spans="1:29" ht="15">
      <c r="A5" s="297"/>
      <c r="B5" s="298"/>
      <c r="C5" s="3502" t="s">
        <v>2260</v>
      </c>
      <c r="D5" s="3503"/>
      <c r="E5" s="3500" t="s">
        <v>2261</v>
      </c>
      <c r="F5" s="3501"/>
      <c r="G5" s="3502" t="s">
        <v>2262</v>
      </c>
      <c r="H5" s="3503"/>
      <c r="I5" s="3502" t="s">
        <v>2263</v>
      </c>
      <c r="J5" s="3503"/>
      <c r="K5" s="496"/>
      <c r="L5" s="3028"/>
      <c r="M5" s="3029"/>
      <c r="N5" s="3029"/>
      <c r="O5" s="3029"/>
      <c r="P5" s="3495"/>
      <c r="Q5" s="3496"/>
      <c r="R5" s="3478"/>
      <c r="S5" s="3479"/>
      <c r="T5" s="3478"/>
      <c r="U5" s="3479"/>
      <c r="V5" s="3499"/>
      <c r="W5" s="3499"/>
      <c r="X5" s="1335"/>
      <c r="Y5" s="3478"/>
      <c r="Z5" s="3479"/>
      <c r="AA5" s="3487"/>
      <c r="AB5" s="3487"/>
      <c r="AC5" s="3487"/>
    </row>
    <row r="6" spans="1:29" ht="15.75" thickBot="1">
      <c r="A6" s="299"/>
      <c r="B6" s="300"/>
      <c r="C6" s="3504" t="s">
        <v>2264</v>
      </c>
      <c r="D6" s="3505"/>
      <c r="E6" s="3506" t="s">
        <v>2264</v>
      </c>
      <c r="F6" s="3507"/>
      <c r="G6" s="3504" t="s">
        <v>2264</v>
      </c>
      <c r="H6" s="3505"/>
      <c r="I6" s="3504" t="s">
        <v>2264</v>
      </c>
      <c r="J6" s="3505"/>
      <c r="K6" s="496" t="s">
        <v>2265</v>
      </c>
      <c r="L6" s="3028"/>
      <c r="M6" s="3029"/>
      <c r="N6" s="3029"/>
      <c r="O6" s="3029"/>
      <c r="P6" s="3497"/>
      <c r="Q6" s="3498"/>
      <c r="R6" s="3478"/>
      <c r="S6" s="3479"/>
      <c r="T6" s="3480"/>
      <c r="U6" s="3481"/>
      <c r="V6" s="3499"/>
      <c r="W6" s="3499"/>
      <c r="X6" s="1335"/>
      <c r="Y6" s="3480"/>
      <c r="Z6" s="3481"/>
      <c r="AA6" s="3488"/>
      <c r="AB6" s="3488"/>
      <c r="AC6" s="3488"/>
    </row>
    <row r="7" spans="1:29" s="25" customFormat="1" ht="15.75" thickBot="1">
      <c r="A7" s="301" t="s">
        <v>2266</v>
      </c>
      <c r="B7" s="302"/>
      <c r="C7" s="303">
        <f>'数据-取费表'!B2</f>
        <v>43964</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74" t="s">
        <v>2267</v>
      </c>
      <c r="Q7" s="3482"/>
      <c r="R7" s="627" t="s">
        <v>25</v>
      </c>
      <c r="S7" s="628">
        <f t="shared" ref="S7:S15" si="0">F7</f>
        <v>0</v>
      </c>
      <c r="T7" s="627" t="s">
        <v>25</v>
      </c>
      <c r="U7" s="628">
        <f t="shared" ref="U7:U15" si="1">H7</f>
        <v>0</v>
      </c>
      <c r="V7" s="627" t="s">
        <v>25</v>
      </c>
      <c r="W7" s="628">
        <f t="shared" ref="W7:W15" si="2">J7</f>
        <v>0</v>
      </c>
      <c r="X7" s="629"/>
      <c r="Y7" s="3474" t="s">
        <v>2267</v>
      </c>
      <c r="Z7" s="3475"/>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74" t="s">
        <v>2270</v>
      </c>
      <c r="Q8" s="3475"/>
      <c r="R8" s="627" t="s">
        <v>25</v>
      </c>
      <c r="S8" s="628">
        <f t="shared" si="0"/>
        <v>0</v>
      </c>
      <c r="T8" s="627" t="s">
        <v>25</v>
      </c>
      <c r="U8" s="628">
        <f t="shared" si="1"/>
        <v>0</v>
      </c>
      <c r="V8" s="627" t="s">
        <v>25</v>
      </c>
      <c r="W8" s="628">
        <f t="shared" si="2"/>
        <v>0</v>
      </c>
      <c r="X8" s="629"/>
      <c r="Y8" s="3474" t="s">
        <v>2270</v>
      </c>
      <c r="Z8" s="3475"/>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66" t="s">
        <v>2273</v>
      </c>
      <c r="Q9" s="1327" t="str">
        <f t="shared" ref="Q9:Q15" si="6">B9</f>
        <v>用途</v>
      </c>
      <c r="R9" s="627" t="s">
        <v>25</v>
      </c>
      <c r="S9" s="628">
        <f t="shared" si="0"/>
        <v>100</v>
      </c>
      <c r="T9" s="627" t="s">
        <v>25</v>
      </c>
      <c r="U9" s="628">
        <f t="shared" si="1"/>
        <v>100</v>
      </c>
      <c r="V9" s="627" t="s">
        <v>25</v>
      </c>
      <c r="W9" s="628">
        <f t="shared" si="2"/>
        <v>100</v>
      </c>
      <c r="X9" s="629"/>
      <c r="Y9" s="348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100</v>
      </c>
      <c r="G10" s="322"/>
      <c r="H10" s="29">
        <f>ROUND(100/'数据-取费表'!B14,0)</f>
        <v>100</v>
      </c>
      <c r="I10" s="322"/>
      <c r="J10" s="29">
        <f>ROUND(100/'数据-取费表'!B14,0)</f>
        <v>100</v>
      </c>
      <c r="K10" s="553"/>
      <c r="L10" s="3033"/>
      <c r="M10" s="3034"/>
      <c r="N10" s="3034"/>
      <c r="O10" s="3035"/>
      <c r="P10" s="3466"/>
      <c r="Q10" s="1327" t="str">
        <f t="shared" si="6"/>
        <v>土地使用年限（年）</v>
      </c>
      <c r="R10" s="627" t="s">
        <v>25</v>
      </c>
      <c r="S10" s="628">
        <f t="shared" si="0"/>
        <v>100</v>
      </c>
      <c r="T10" s="627" t="s">
        <v>25</v>
      </c>
      <c r="U10" s="628">
        <f t="shared" si="1"/>
        <v>100</v>
      </c>
      <c r="V10" s="627" t="s">
        <v>25</v>
      </c>
      <c r="W10" s="628">
        <f t="shared" si="2"/>
        <v>100</v>
      </c>
      <c r="X10" s="629"/>
      <c r="Y10" s="3485"/>
      <c r="Z10" s="19" t="str">
        <f t="shared" si="7"/>
        <v>土地使用年限（年）</v>
      </c>
      <c r="AA10" s="630">
        <f t="shared" si="3"/>
        <v>1</v>
      </c>
      <c r="AB10" s="630">
        <f t="shared" si="4"/>
        <v>1</v>
      </c>
      <c r="AC10" s="630">
        <f t="shared" si="5"/>
        <v>1</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66"/>
      <c r="Q11" s="1327" t="str">
        <f t="shared" si="6"/>
        <v>容积率</v>
      </c>
      <c r="R11" s="627" t="s">
        <v>25</v>
      </c>
      <c r="S11" s="628" t="e">
        <f t="shared" si="0"/>
        <v>#N/A</v>
      </c>
      <c r="T11" s="627" t="s">
        <v>25</v>
      </c>
      <c r="U11" s="628" t="e">
        <f t="shared" si="1"/>
        <v>#N/A</v>
      </c>
      <c r="V11" s="627" t="s">
        <v>25</v>
      </c>
      <c r="W11" s="628" t="e">
        <f t="shared" si="2"/>
        <v>#N/A</v>
      </c>
      <c r="X11" s="629"/>
      <c r="Y11" s="348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66"/>
      <c r="Q12" s="1327">
        <f t="shared" si="6"/>
        <v>111</v>
      </c>
      <c r="R12" s="627" t="s">
        <v>25</v>
      </c>
      <c r="S12" s="628">
        <f t="shared" si="0"/>
        <v>100</v>
      </c>
      <c r="T12" s="627" t="s">
        <v>25</v>
      </c>
      <c r="U12" s="628">
        <f t="shared" si="1"/>
        <v>100</v>
      </c>
      <c r="V12" s="627" t="s">
        <v>25</v>
      </c>
      <c r="W12" s="628">
        <f t="shared" si="2"/>
        <v>100</v>
      </c>
      <c r="X12" s="629"/>
      <c r="Y12" s="348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66"/>
      <c r="Q13" s="1327">
        <f t="shared" si="6"/>
        <v>111</v>
      </c>
      <c r="R13" s="627" t="s">
        <v>25</v>
      </c>
      <c r="S13" s="628">
        <f t="shared" si="0"/>
        <v>100</v>
      </c>
      <c r="T13" s="627" t="s">
        <v>25</v>
      </c>
      <c r="U13" s="628">
        <f t="shared" si="1"/>
        <v>100</v>
      </c>
      <c r="V13" s="627" t="s">
        <v>25</v>
      </c>
      <c r="W13" s="628">
        <f t="shared" si="2"/>
        <v>100</v>
      </c>
      <c r="X13" s="629"/>
      <c r="Y13" s="348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66"/>
      <c r="Q14" s="1327">
        <f t="shared" si="6"/>
        <v>111</v>
      </c>
      <c r="R14" s="627" t="s">
        <v>25</v>
      </c>
      <c r="S14" s="628">
        <f t="shared" si="0"/>
        <v>100</v>
      </c>
      <c r="T14" s="627" t="s">
        <v>25</v>
      </c>
      <c r="U14" s="628">
        <f t="shared" si="1"/>
        <v>100</v>
      </c>
      <c r="V14" s="627" t="s">
        <v>25</v>
      </c>
      <c r="W14" s="628">
        <f t="shared" si="2"/>
        <v>100</v>
      </c>
      <c r="X14" s="629"/>
      <c r="Y14" s="348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483" t="s">
        <v>2278</v>
      </c>
      <c r="Q15" s="1334" t="str">
        <f t="shared" si="6"/>
        <v>产业集聚程度</v>
      </c>
      <c r="R15" s="631" t="s">
        <v>25</v>
      </c>
      <c r="S15" s="632">
        <f t="shared" si="0"/>
        <v>100</v>
      </c>
      <c r="T15" s="631" t="s">
        <v>25</v>
      </c>
      <c r="U15" s="632">
        <f t="shared" si="1"/>
        <v>100</v>
      </c>
      <c r="V15" s="631" t="s">
        <v>25</v>
      </c>
      <c r="W15" s="632">
        <f t="shared" si="2"/>
        <v>100</v>
      </c>
      <c r="X15" s="1335"/>
      <c r="Y15" s="348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484"/>
      <c r="Q16" s="1334"/>
      <c r="R16" s="631"/>
      <c r="S16" s="632"/>
      <c r="T16" s="631"/>
      <c r="U16" s="632"/>
      <c r="V16" s="631"/>
      <c r="W16" s="632"/>
      <c r="X16" s="1335"/>
      <c r="Y16" s="348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484"/>
      <c r="Q17" s="1334" t="str">
        <f>B17</f>
        <v>交通便捷度</v>
      </c>
      <c r="R17" s="631" t="s">
        <v>25</v>
      </c>
      <c r="S17" s="632">
        <f>F17</f>
        <v>100</v>
      </c>
      <c r="T17" s="631" t="s">
        <v>25</v>
      </c>
      <c r="U17" s="632">
        <f>H17</f>
        <v>100</v>
      </c>
      <c r="V17" s="631" t="s">
        <v>25</v>
      </c>
      <c r="W17" s="632">
        <f>J17</f>
        <v>100</v>
      </c>
      <c r="X17" s="1335"/>
      <c r="Y17" s="348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484"/>
      <c r="Q18" s="1334"/>
      <c r="R18" s="631"/>
      <c r="S18" s="632"/>
      <c r="T18" s="631"/>
      <c r="U18" s="632"/>
      <c r="V18" s="631"/>
      <c r="W18" s="632"/>
      <c r="X18" s="1335"/>
      <c r="Y18" s="348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484"/>
      <c r="Q19" s="1334" t="str">
        <f t="shared" ref="Q19:Q33" si="8">B19</f>
        <v>区域土地利用方向</v>
      </c>
      <c r="R19" s="631" t="s">
        <v>25</v>
      </c>
      <c r="S19" s="632">
        <f>F19</f>
        <v>100</v>
      </c>
      <c r="T19" s="631" t="s">
        <v>25</v>
      </c>
      <c r="U19" s="632">
        <f>H19</f>
        <v>100</v>
      </c>
      <c r="V19" s="631" t="s">
        <v>25</v>
      </c>
      <c r="W19" s="632">
        <f>J19</f>
        <v>100</v>
      </c>
      <c r="X19" s="1335"/>
      <c r="Y19" s="348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484"/>
      <c r="Q20" s="1334"/>
      <c r="R20" s="631"/>
      <c r="S20" s="632"/>
      <c r="T20" s="631"/>
      <c r="U20" s="632"/>
      <c r="V20" s="631"/>
      <c r="W20" s="632"/>
      <c r="X20" s="1335"/>
      <c r="Y20" s="348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484"/>
      <c r="Q21" s="1334" t="str">
        <f t="shared" si="8"/>
        <v>环境状况</v>
      </c>
      <c r="R21" s="631" t="s">
        <v>25</v>
      </c>
      <c r="S21" s="632">
        <f>F21</f>
        <v>100</v>
      </c>
      <c r="T21" s="631" t="s">
        <v>25</v>
      </c>
      <c r="U21" s="632">
        <f>H21</f>
        <v>100</v>
      </c>
      <c r="V21" s="631" t="s">
        <v>25</v>
      </c>
      <c r="W21" s="632">
        <f>J21</f>
        <v>100</v>
      </c>
      <c r="X21" s="1335"/>
      <c r="Y21" s="348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484"/>
      <c r="Q22" s="1334"/>
      <c r="R22" s="631"/>
      <c r="S22" s="632"/>
      <c r="T22" s="631"/>
      <c r="U22" s="632"/>
      <c r="V22" s="631"/>
      <c r="W22" s="632"/>
      <c r="X22" s="1335"/>
      <c r="Y22" s="348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484"/>
      <c r="Q23" s="1327" t="str">
        <f t="shared" si="8"/>
        <v>公共配套设施</v>
      </c>
      <c r="R23" s="627" t="s">
        <v>25</v>
      </c>
      <c r="S23" s="628">
        <f>F23</f>
        <v>100</v>
      </c>
      <c r="T23" s="627" t="s">
        <v>25</v>
      </c>
      <c r="U23" s="628">
        <f>H23</f>
        <v>100</v>
      </c>
      <c r="V23" s="627" t="s">
        <v>25</v>
      </c>
      <c r="W23" s="628">
        <f>J23</f>
        <v>100</v>
      </c>
      <c r="X23" s="629"/>
      <c r="Y23" s="348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484"/>
      <c r="Q24" s="1327"/>
      <c r="R24" s="627"/>
      <c r="S24" s="628"/>
      <c r="T24" s="627"/>
      <c r="U24" s="628"/>
      <c r="V24" s="627"/>
      <c r="W24" s="628"/>
      <c r="X24" s="629"/>
      <c r="Y24" s="348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484"/>
      <c r="Q25" s="1327" t="str">
        <f t="shared" ref="Q25" si="9">B25</f>
        <v>基础设施水平</v>
      </c>
      <c r="R25" s="627" t="s">
        <v>25</v>
      </c>
      <c r="S25" s="628">
        <f>F25</f>
        <v>100</v>
      </c>
      <c r="T25" s="627" t="s">
        <v>25</v>
      </c>
      <c r="U25" s="628">
        <f>H25</f>
        <v>100</v>
      </c>
      <c r="V25" s="627" t="s">
        <v>25</v>
      </c>
      <c r="W25" s="628">
        <f>J25</f>
        <v>100</v>
      </c>
      <c r="X25" s="629"/>
      <c r="Y25" s="348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484"/>
      <c r="Q26" s="1327"/>
      <c r="R26" s="627"/>
      <c r="S26" s="628"/>
      <c r="T26" s="627"/>
      <c r="U26" s="628"/>
      <c r="V26" s="627"/>
      <c r="W26" s="628"/>
      <c r="X26" s="629"/>
      <c r="Y26" s="348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48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8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484"/>
      <c r="Q28" s="1334" t="str">
        <f t="shared" si="8"/>
        <v>毗邻道路的类型与等级</v>
      </c>
      <c r="R28" s="631" t="s">
        <v>25</v>
      </c>
      <c r="S28" s="632">
        <f t="shared" si="10"/>
        <v>100</v>
      </c>
      <c r="T28" s="631" t="s">
        <v>25</v>
      </c>
      <c r="U28" s="632">
        <f t="shared" si="11"/>
        <v>100</v>
      </c>
      <c r="V28" s="631" t="s">
        <v>25</v>
      </c>
      <c r="W28" s="632">
        <f t="shared" si="12"/>
        <v>100</v>
      </c>
      <c r="X28" s="1335"/>
      <c r="Y28" s="348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484"/>
      <c r="Q29" s="1334"/>
      <c r="R29" s="631"/>
      <c r="S29" s="632"/>
      <c r="T29" s="631"/>
      <c r="U29" s="632"/>
      <c r="V29" s="631"/>
      <c r="W29" s="632"/>
      <c r="X29" s="1335"/>
      <c r="Y29" s="348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484"/>
      <c r="Q30" s="1334" t="str">
        <f t="shared" si="8"/>
        <v>土地级别</v>
      </c>
      <c r="R30" s="631" t="s">
        <v>25</v>
      </c>
      <c r="S30" s="632">
        <f t="shared" si="10"/>
        <v>100</v>
      </c>
      <c r="T30" s="631" t="s">
        <v>25</v>
      </c>
      <c r="U30" s="632">
        <f t="shared" si="11"/>
        <v>100</v>
      </c>
      <c r="V30" s="631" t="s">
        <v>25</v>
      </c>
      <c r="W30" s="632">
        <f t="shared" si="12"/>
        <v>100</v>
      </c>
      <c r="X30" s="1335"/>
      <c r="Y30" s="348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484"/>
      <c r="Q31" s="1334">
        <f t="shared" si="8"/>
        <v>111</v>
      </c>
      <c r="R31" s="631" t="s">
        <v>25</v>
      </c>
      <c r="S31" s="632">
        <f t="shared" si="10"/>
        <v>100</v>
      </c>
      <c r="T31" s="631" t="s">
        <v>25</v>
      </c>
      <c r="U31" s="632">
        <f t="shared" si="11"/>
        <v>100</v>
      </c>
      <c r="V31" s="631" t="s">
        <v>25</v>
      </c>
      <c r="W31" s="632">
        <f t="shared" si="12"/>
        <v>100</v>
      </c>
      <c r="X31" s="1335"/>
      <c r="Y31" s="348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471" t="s">
        <v>2284</v>
      </c>
      <c r="Q32" s="1334">
        <f t="shared" si="8"/>
        <v>111</v>
      </c>
      <c r="R32" s="631" t="s">
        <v>25</v>
      </c>
      <c r="S32" s="632">
        <f t="shared" si="10"/>
        <v>100</v>
      </c>
      <c r="T32" s="631" t="s">
        <v>25</v>
      </c>
      <c r="U32" s="632">
        <f t="shared" si="11"/>
        <v>100</v>
      </c>
      <c r="V32" s="631" t="s">
        <v>25</v>
      </c>
      <c r="W32" s="632">
        <f t="shared" si="12"/>
        <v>100</v>
      </c>
      <c r="X32" s="1335"/>
      <c r="Y32" s="3472"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472"/>
      <c r="Q33" s="1334">
        <f t="shared" si="8"/>
        <v>111</v>
      </c>
      <c r="R33" s="634" t="s">
        <v>25</v>
      </c>
      <c r="S33" s="635">
        <f t="shared" si="10"/>
        <v>100</v>
      </c>
      <c r="T33" s="634" t="s">
        <v>25</v>
      </c>
      <c r="U33" s="635">
        <f t="shared" si="11"/>
        <v>100</v>
      </c>
      <c r="V33" s="634" t="s">
        <v>25</v>
      </c>
      <c r="W33" s="635">
        <f t="shared" si="12"/>
        <v>100</v>
      </c>
      <c r="X33" s="636"/>
      <c r="Y33" s="3472"/>
      <c r="Z33" s="637">
        <f t="shared" si="13"/>
        <v>111</v>
      </c>
      <c r="AA33" s="1337">
        <f t="shared" si="3"/>
        <v>1</v>
      </c>
      <c r="AB33" s="1337">
        <f t="shared" si="4"/>
        <v>1</v>
      </c>
      <c r="AC33" s="1337">
        <f t="shared" si="5"/>
        <v>1</v>
      </c>
    </row>
    <row r="34" spans="1:29" ht="29.2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472"/>
      <c r="Q34" s="1334" t="str">
        <f>B34</f>
        <v>宗地面积</v>
      </c>
      <c r="R34" s="631" t="s">
        <v>25</v>
      </c>
      <c r="S34" s="632" t="e">
        <f t="shared" si="10"/>
        <v>#N/A</v>
      </c>
      <c r="T34" s="631" t="s">
        <v>25</v>
      </c>
      <c r="U34" s="632" t="e">
        <f t="shared" si="11"/>
        <v>#N/A</v>
      </c>
      <c r="V34" s="631" t="s">
        <v>25</v>
      </c>
      <c r="W34" s="632" t="e">
        <f t="shared" si="12"/>
        <v>#N/A</v>
      </c>
      <c r="X34" s="1335"/>
      <c r="Y34" s="3472"/>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472"/>
      <c r="Q35" s="1334" t="str">
        <f t="shared" ref="Q35:Q40" si="14">B35</f>
        <v>宗地形状</v>
      </c>
      <c r="R35" s="631" t="s">
        <v>25</v>
      </c>
      <c r="S35" s="632">
        <f t="shared" si="10"/>
        <v>100</v>
      </c>
      <c r="T35" s="631" t="s">
        <v>25</v>
      </c>
      <c r="U35" s="632">
        <f t="shared" si="11"/>
        <v>100</v>
      </c>
      <c r="V35" s="631" t="s">
        <v>25</v>
      </c>
      <c r="W35" s="632">
        <f t="shared" si="12"/>
        <v>100</v>
      </c>
      <c r="X35" s="1335"/>
      <c r="Y35" s="3472"/>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472"/>
      <c r="Q36" s="1334" t="str">
        <f t="shared" si="14"/>
        <v>宗地开发程度</v>
      </c>
      <c r="R36" s="627" t="s">
        <v>25</v>
      </c>
      <c r="S36" s="628">
        <f t="shared" si="10"/>
        <v>100</v>
      </c>
      <c r="T36" s="627" t="s">
        <v>25</v>
      </c>
      <c r="U36" s="628">
        <f t="shared" si="11"/>
        <v>100</v>
      </c>
      <c r="V36" s="627" t="s">
        <v>25</v>
      </c>
      <c r="W36" s="628">
        <f t="shared" si="12"/>
        <v>100</v>
      </c>
      <c r="X36" s="629"/>
      <c r="Y36" s="3472"/>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472" t="s">
        <v>2284</v>
      </c>
      <c r="Q37" s="1334" t="str">
        <f t="shared" si="14"/>
        <v>工程地质条件</v>
      </c>
      <c r="R37" s="631" t="s">
        <v>25</v>
      </c>
      <c r="S37" s="632">
        <f t="shared" si="10"/>
        <v>100</v>
      </c>
      <c r="T37" s="631" t="s">
        <v>25</v>
      </c>
      <c r="U37" s="632">
        <f t="shared" si="11"/>
        <v>100</v>
      </c>
      <c r="V37" s="631" t="s">
        <v>25</v>
      </c>
      <c r="W37" s="632">
        <f t="shared" si="12"/>
        <v>100</v>
      </c>
      <c r="X37" s="1335"/>
      <c r="Y37" s="3472"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472"/>
      <c r="Q38" s="1334">
        <f t="shared" si="14"/>
        <v>111</v>
      </c>
      <c r="R38" s="631" t="s">
        <v>25</v>
      </c>
      <c r="S38" s="632">
        <f t="shared" si="10"/>
        <v>100</v>
      </c>
      <c r="T38" s="631" t="s">
        <v>25</v>
      </c>
      <c r="U38" s="632">
        <f t="shared" si="11"/>
        <v>100</v>
      </c>
      <c r="V38" s="631" t="s">
        <v>25</v>
      </c>
      <c r="W38" s="632">
        <f t="shared" si="12"/>
        <v>100</v>
      </c>
      <c r="X38" s="1335"/>
      <c r="Y38" s="347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472"/>
      <c r="Q39" s="1334">
        <f t="shared" si="14"/>
        <v>111</v>
      </c>
      <c r="R39" s="631" t="s">
        <v>25</v>
      </c>
      <c r="S39" s="632">
        <f t="shared" si="10"/>
        <v>100</v>
      </c>
      <c r="T39" s="631" t="s">
        <v>25</v>
      </c>
      <c r="U39" s="632">
        <f t="shared" si="11"/>
        <v>100</v>
      </c>
      <c r="V39" s="631" t="s">
        <v>25</v>
      </c>
      <c r="W39" s="632">
        <f t="shared" si="12"/>
        <v>100</v>
      </c>
      <c r="X39" s="1335"/>
      <c r="Y39" s="347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472"/>
      <c r="Q40" s="1334">
        <f t="shared" si="14"/>
        <v>111</v>
      </c>
      <c r="R40" s="634" t="s">
        <v>25</v>
      </c>
      <c r="S40" s="635">
        <f t="shared" si="10"/>
        <v>100</v>
      </c>
      <c r="T40" s="634" t="s">
        <v>25</v>
      </c>
      <c r="U40" s="635">
        <f t="shared" si="11"/>
        <v>100</v>
      </c>
      <c r="V40" s="634" t="s">
        <v>25</v>
      </c>
      <c r="W40" s="635">
        <f t="shared" si="12"/>
        <v>100</v>
      </c>
      <c r="X40" s="636"/>
      <c r="Y40" s="3472"/>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66" t="str">
        <f>A41</f>
        <v>成交单价</v>
      </c>
      <c r="Q41" s="3466"/>
      <c r="R41" s="3499">
        <f>E41</f>
        <v>0</v>
      </c>
      <c r="S41" s="3499"/>
      <c r="T41" s="3499">
        <f>G41</f>
        <v>0</v>
      </c>
      <c r="U41" s="3499"/>
      <c r="V41" s="3499">
        <f>I41</f>
        <v>0</v>
      </c>
      <c r="W41" s="3499"/>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4">
        <f>F42+H42+J42</f>
        <v>0</v>
      </c>
      <c r="L42" s="3040"/>
      <c r="M42" s="3029"/>
      <c r="N42" s="3029"/>
      <c r="P42" s="3466" t="str">
        <f>A42</f>
        <v>比较价值（元/平方米）</v>
      </c>
      <c r="Q42" s="3466"/>
      <c r="R42" s="3511" t="e">
        <f>ROUND(PRODUCT(R41,AA7:AA40),0)</f>
        <v>#DIV/0!</v>
      </c>
      <c r="S42" s="3511"/>
      <c r="T42" s="3511" t="e">
        <f>ROUND(PRODUCT(T41,AB7:AB40),0)</f>
        <v>#DIV/0!</v>
      </c>
      <c r="U42" s="3511"/>
      <c r="V42" s="3511" t="e">
        <f>ROUND(PRODUCT(V41,AC7:AC40),0)</f>
        <v>#DIV/0!</v>
      </c>
      <c r="W42" s="351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68" t="str">
        <f>A43</f>
        <v>估价对象XX用房的比较价值（楼面单价，元/平方米）</v>
      </c>
      <c r="Q43" s="3469"/>
      <c r="R43" s="3510" t="e">
        <f>ROUND(IF(D42="简单平均",AVERAGE(R42:W42),R42*F42+T42*H42+V42*J42),0)</f>
        <v>#DIV/0!</v>
      </c>
      <c r="S43" s="3510"/>
      <c r="T43" s="3510"/>
      <c r="U43" s="3510"/>
      <c r="V43" s="3510"/>
      <c r="W43" s="3510"/>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2020-5-1</v>
      </c>
      <c r="D63" s="1182">
        <f>EDATE(C63,-3)</f>
        <v>43862</v>
      </c>
      <c r="E63" s="1182">
        <f t="shared" ref="E63:O63" si="18">EDATE(D63,-3)</f>
        <v>43770</v>
      </c>
      <c r="F63" s="1182">
        <f t="shared" si="18"/>
        <v>43678</v>
      </c>
      <c r="G63" s="1182">
        <f t="shared" si="18"/>
        <v>43586</v>
      </c>
      <c r="H63" s="1182">
        <f t="shared" si="18"/>
        <v>43497</v>
      </c>
      <c r="I63" s="1182">
        <f t="shared" si="18"/>
        <v>43405</v>
      </c>
      <c r="J63" s="1182">
        <f t="shared" si="18"/>
        <v>43313</v>
      </c>
      <c r="K63" s="1182">
        <f t="shared" si="18"/>
        <v>43221</v>
      </c>
      <c r="L63" s="1182">
        <f t="shared" si="18"/>
        <v>43132</v>
      </c>
      <c r="M63" s="1182">
        <f t="shared" si="18"/>
        <v>43040</v>
      </c>
      <c r="N63" s="1182">
        <f t="shared" si="18"/>
        <v>42948</v>
      </c>
      <c r="O63" s="1182">
        <f t="shared" si="18"/>
        <v>42856</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2020-2</v>
      </c>
      <c r="D65" s="1183" t="str">
        <f t="shared" ref="D65:O65" si="19">YEAR(D63)&amp;"-"&amp;ROUNDUP(MONTH(D63)/3,0)</f>
        <v>2020-1</v>
      </c>
      <c r="E65" s="1183" t="str">
        <f t="shared" si="19"/>
        <v>2019-4</v>
      </c>
      <c r="F65" s="1183" t="str">
        <f t="shared" si="19"/>
        <v>2019-3</v>
      </c>
      <c r="G65" s="1183" t="str">
        <f t="shared" si="19"/>
        <v>2019-2</v>
      </c>
      <c r="H65" s="1183" t="str">
        <f t="shared" si="19"/>
        <v>2019-1</v>
      </c>
      <c r="I65" s="1183" t="str">
        <f t="shared" si="19"/>
        <v>2018-4</v>
      </c>
      <c r="J65" s="1183" t="str">
        <f t="shared" si="19"/>
        <v>2018-3</v>
      </c>
      <c r="K65" s="1183" t="str">
        <f t="shared" si="19"/>
        <v>2018-2</v>
      </c>
      <c r="L65" s="1183" t="str">
        <f t="shared" si="19"/>
        <v>2018-1</v>
      </c>
      <c r="M65" s="1183" t="str">
        <f t="shared" si="19"/>
        <v>2017-4</v>
      </c>
      <c r="N65" s="1183" t="str">
        <f t="shared" si="19"/>
        <v>2017-3</v>
      </c>
      <c r="O65" s="1183" t="str">
        <f t="shared" si="19"/>
        <v>2017-2</v>
      </c>
      <c r="P65" s="393"/>
    </row>
    <row r="66" spans="1:17" s="25" customFormat="1" ht="33.75" customHeight="1">
      <c r="A66" s="1600" t="s">
        <v>2503</v>
      </c>
      <c r="B66" s="200" t="str">
        <f>"北京市平均增长率"&amp;TEXT(基准地价修正!P24,"0.00%")</f>
        <v>北京市平均增长率1.32%</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估价对象为北京市房地产，为XX所有。根据《不动产权证书》[]，估价对象建筑面积为136.06平方米，（分摊）出让国有建设用地使用权面积为平方米。估价对象用途为。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2020年5月13日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本次估价的“房地产价值”是指在正常市场情况下，在价值时点2020年5月13日，估价对象规划用途为，假定未设立法定优先受偿款下的房地产市场价值。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5" zoomScale="85" zoomScaleNormal="90" zoomScaleSheetLayoutView="85" workbookViewId="0">
      <selection activeCell="C71" sqref="C7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0</v>
      </c>
      <c r="C2" s="2108" t="s">
        <v>2513</v>
      </c>
      <c r="D2" s="1602" t="s">
        <v>2514</v>
      </c>
      <c r="E2" s="2109" t="s">
        <v>2901</v>
      </c>
      <c r="F2" s="1602" t="s">
        <v>2515</v>
      </c>
      <c r="G2" s="2110" t="str">
        <f>项目基本情况!F9</f>
        <v>六级</v>
      </c>
      <c r="H2" s="1603" t="s">
        <v>2516</v>
      </c>
      <c r="I2" s="2110" t="str">
        <f>项目基本情况!F10</f>
        <v>Ⅵ-昌3</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39402</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t="e">
        <f ca="1">ROUND(B2/D1,0)</f>
        <v>#DIV/0!</v>
      </c>
      <c r="C3" s="2108" t="s">
        <v>2519</v>
      </c>
      <c r="D3" s="1602" t="s">
        <v>2520</v>
      </c>
      <c r="E3" s="2109" t="s">
        <v>2902</v>
      </c>
      <c r="F3" s="1604" t="s">
        <v>2521</v>
      </c>
      <c r="G3" s="2116">
        <f>项目基本情况!C15</f>
        <v>2.5</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28283</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14"/>
      <c r="B4" s="3515"/>
      <c r="C4" s="3515"/>
      <c r="D4" s="3516"/>
      <c r="E4" s="3516"/>
      <c r="F4" s="3516"/>
      <c r="G4" s="3516"/>
      <c r="H4" s="3516"/>
      <c r="I4" s="3516"/>
      <c r="J4" s="3517"/>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22817</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12580</v>
      </c>
      <c r="D5" s="2119">
        <f>ROUND(C6+C16,0)</f>
        <v>9530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18308</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9530</v>
      </c>
      <c r="D6" s="2128" t="s">
        <v>2530</v>
      </c>
      <c r="E6" s="1606"/>
      <c r="F6" s="1606"/>
      <c r="G6" s="2129"/>
      <c r="H6" s="2129"/>
      <c r="I6" s="2129"/>
      <c r="J6" s="2130"/>
      <c r="K6" s="3054"/>
      <c r="L6" s="2112" t="s">
        <v>2531</v>
      </c>
      <c r="M6" s="2113">
        <f>SUMPRODUCT((区片价!B110:B157=I2)*(区片价!C3:F3=E2)*(区片价!C110:F157))</f>
        <v>9530</v>
      </c>
      <c r="N6" s="2114">
        <f>SUMPRODUCT((因素修正幅度!B110:B157=I2)*(因素修正幅度!C3:F3=E2)*(因素修正幅度!C110:F157))</f>
        <v>0.115</v>
      </c>
      <c r="O6" s="3053"/>
      <c r="P6" s="3053"/>
      <c r="Q6" s="3053"/>
      <c r="R6" s="2104">
        <v>5</v>
      </c>
      <c r="S6" s="2104">
        <f>ROUND(IF(G3&gt;1,IF(R6&lt;7,SUMPRODUCT((B93:B98=R6)*(C92:N92=G2)*(C93:N98)),SUMIF(C92:N92,G2,C100:N100)),IF(R6&lt;7,SUMPRODUCT((B102:B107=R6)*(C92:N92=G2)*(C102:N107)),SUMIF(C92:N92,G2,C109:N109))),4)</f>
        <v>0.73709999999999998</v>
      </c>
      <c r="T6" s="2104">
        <f t="shared" ca="1" si="0"/>
        <v>15590</v>
      </c>
      <c r="U6" s="2115"/>
      <c r="V6" s="2104">
        <f t="shared" ca="1" si="1"/>
        <v>0</v>
      </c>
      <c r="W6" s="2105"/>
      <c r="X6" s="2105"/>
      <c r="Y6" s="2105"/>
      <c r="Z6" s="2105"/>
      <c r="AA6" s="2105"/>
      <c r="AB6" s="2105"/>
      <c r="AC6" s="2122"/>
      <c r="AD6" s="2123"/>
      <c r="AE6" s="2123"/>
      <c r="AF6" s="2123"/>
      <c r="AG6" s="2123"/>
      <c r="AH6" s="2123"/>
      <c r="AI6" s="2123"/>
      <c r="AJ6" s="2124"/>
    </row>
    <row r="7" spans="1:36" ht="24">
      <c r="A7" s="3518"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13710</v>
      </c>
      <c r="U7" s="2115"/>
      <c r="V7" s="2104">
        <f t="shared" ca="1" si="1"/>
        <v>0</v>
      </c>
      <c r="W7" s="2136" t="s">
        <v>2535</v>
      </c>
      <c r="X7" s="2137" t="str">
        <f>G2</f>
        <v>六级</v>
      </c>
      <c r="Y7" s="2137" t="s">
        <v>2536</v>
      </c>
      <c r="Z7" s="2138">
        <f>G3</f>
        <v>2.5</v>
      </c>
      <c r="AA7" s="2105"/>
      <c r="AB7" s="2105"/>
      <c r="AC7" s="2105"/>
      <c r="AD7" s="2106"/>
      <c r="AE7" s="2106"/>
      <c r="AF7" s="2106"/>
      <c r="AG7" s="2106"/>
      <c r="AH7" s="2106"/>
      <c r="AI7" s="2106"/>
      <c r="AJ7" s="2107"/>
    </row>
    <row r="8" spans="1:36" ht="15">
      <c r="A8" s="3519"/>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12" t="s">
        <v>2540</v>
      </c>
      <c r="X8" s="3513"/>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19"/>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13"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19"/>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1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19"/>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13"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18">
        <f>IF(E2="住宅",2,"")</f>
        <v>2</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13"/>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0"/>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13"/>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20"/>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21"/>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22">
        <f>IF(E2="办公",2,IF(E2="工业",2,IF(E2="住宅",3,IF(E2="商业",IF(C8="不临58条商业街",2,3)))))</f>
        <v>3</v>
      </c>
      <c r="B16" s="1631" t="s">
        <v>2586</v>
      </c>
      <c r="C16" s="1607">
        <f>ROUND(IF(F17="与级别开发程度一致",0,(G17-E17)/C17),0)</f>
        <v>0</v>
      </c>
      <c r="D16" s="3535" t="s">
        <v>2590</v>
      </c>
      <c r="E16" s="3536"/>
      <c r="F16" s="3535" t="s">
        <v>2587</v>
      </c>
      <c r="G16" s="3536"/>
      <c r="H16" s="2175"/>
      <c r="I16" s="2175"/>
      <c r="J16" s="2176"/>
      <c r="K16" s="2175"/>
      <c r="L16" s="2175"/>
      <c r="M16" s="2175"/>
      <c r="N16" s="2175"/>
      <c r="O16" s="2177"/>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23"/>
      <c r="B17" s="1632" t="s">
        <v>2589</v>
      </c>
      <c r="C17" s="2178">
        <f>SUMPRODUCT((修正!A2:A5=E2)*(修正!B1:M1=G2)*(修正!B2:M5))</f>
        <v>2.5</v>
      </c>
      <c r="D17" s="2172" t="str">
        <f>IF(OR(G2="八级",G2="九级",G2="十级",G2="十一级",G2="十二级"),"五通一平","七通一平")</f>
        <v>七通一平</v>
      </c>
      <c r="E17" s="2179">
        <f>SUMPRODUCT((修正!B1:M1=G2)*(修正!B15:M15))</f>
        <v>300</v>
      </c>
      <c r="F17" s="2180" t="s">
        <v>2905</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1.6335999999999999</v>
      </c>
      <c r="D19" s="2190" t="s">
        <v>2596</v>
      </c>
      <c r="E19" s="2191">
        <v>41640</v>
      </c>
      <c r="F19" s="2190" t="s">
        <v>2597</v>
      </c>
      <c r="G19" s="2192">
        <f>'数据-取费表'!B2</f>
        <v>43964</v>
      </c>
      <c r="H19" s="2193" t="s">
        <v>2734</v>
      </c>
      <c r="I19" s="2194" t="str">
        <f>IF(H19="季度增幅（自定义）",SUMIF(N21:N24,E2,O21:O24),"")</f>
        <v/>
      </c>
      <c r="J19" s="2195"/>
      <c r="K19" s="3055"/>
      <c r="L19" s="2076" t="s">
        <v>2598</v>
      </c>
      <c r="M19" s="2196">
        <f>ROUND(SUMIF(地价!B2:F2,E2,地价!B32:F32),0)</f>
        <v>423</v>
      </c>
      <c r="N19" s="2197" t="s">
        <v>2599</v>
      </c>
      <c r="O19" s="2198">
        <f>ROUNDDOWN(DATEDIF(E19,G19,"M")/3,0)</f>
        <v>25</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f ca="1">ROUND(POWER(1+G20,J20-I20)*(POWER(1+G20,I20)-1)/(POWER(1+G20,J20)-1),4)</f>
        <v>1</v>
      </c>
      <c r="D20" s="2202" t="s">
        <v>2602</v>
      </c>
      <c r="E20" s="2203">
        <f ca="1">存贷款利率!D4/100</f>
        <v>4.3499999999999997E-2</v>
      </c>
      <c r="F20" s="2202" t="s">
        <v>2591</v>
      </c>
      <c r="G20" s="2204">
        <f ca="1">SUMIF(M26:P26,E2,M28:P28)</f>
        <v>0.05</v>
      </c>
      <c r="H20" s="2202" t="s">
        <v>2603</v>
      </c>
      <c r="I20" s="2205">
        <f>'数据-取费表'!B13</f>
        <v>70</v>
      </c>
      <c r="J20" s="2206">
        <f>IF(E2="住宅",70,IF(E2="商业",40,50))</f>
        <v>70</v>
      </c>
      <c r="K20" s="3055"/>
      <c r="L20" s="2207" t="s">
        <v>2604</v>
      </c>
      <c r="M20" s="2208">
        <f>ROUND(SUMPRODUCT((地价!A4:A32=YEAR(G19)&amp;"-"&amp;ROUNDUP(MONTH(G19)/3,0))*(地价!B2:F2=E2)*(地价!B4:F32)),0)</f>
        <v>691</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f>IF(B21="容积率修正",IF(G3&lt;=10,D22,J22),C23)</f>
        <v>1</v>
      </c>
      <c r="D21" s="2214"/>
      <c r="E21" s="2214"/>
      <c r="F21" s="2214"/>
      <c r="G21" s="2214"/>
      <c r="H21" s="2214"/>
      <c r="I21" s="2214"/>
      <c r="J21" s="2077"/>
      <c r="K21" s="3055"/>
      <c r="L21" s="3055"/>
      <c r="M21" s="3055"/>
      <c r="N21" s="2215" t="s">
        <v>2610</v>
      </c>
      <c r="O21" s="2216"/>
      <c r="P21" s="2217">
        <f>SUMPRODUCT((地价!A3:A32=YEAR(G19)&amp;"-"&amp;ROUNDUP(MONTH(G19)/3,0))*(地价!AD2:AH2=N21)*(地价!AD3:AH32))</f>
        <v>1.2500000000000001E-2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2613</v>
      </c>
      <c r="O22" s="2216"/>
      <c r="P22" s="2217">
        <f>SUMPRODUCT((地价!A3:A32=YEAR(G19)&amp;"-"&amp;ROUNDUP(MONTH(G19)/3,0))*(地价!AD2:AH2=N22)*(地价!AD3:AH32))</f>
        <v>1.2500000000000001E-2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2615</v>
      </c>
      <c r="O23" s="2216"/>
      <c r="P23" s="2217">
        <f>SUMPRODUCT((地价!A3:A32=YEAR(G19)&amp;"-"&amp;ROUNDUP(MONTH(G19)/3,0))*(地价!AD2:AH2=N23)*(地价!AD3:AH32))</f>
        <v>2.0400000000000001E-2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1.0291999999999999</v>
      </c>
      <c r="D24" s="2224"/>
      <c r="E24" s="2225"/>
      <c r="F24" s="2225"/>
      <c r="G24" s="2225"/>
      <c r="H24" s="2225"/>
      <c r="I24" s="2225"/>
      <c r="J24" s="2226"/>
      <c r="K24" s="3055"/>
      <c r="L24" s="3055"/>
      <c r="M24" s="3055"/>
      <c r="N24" s="2227" t="s">
        <v>2618</v>
      </c>
      <c r="O24" s="2228"/>
      <c r="P24" s="2229">
        <f>SUMPRODUCT((地价!A3:A32=YEAR(G19)&amp;"-"&amp;ROUNDUP(MONTH(G19)/3,0))*(地价!AD2:AH2=N24)*(地价!AD3:AH32))</f>
        <v>1.32E-2</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1.8599999999999998E-2</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f ca="1">IF(B21="容积率修正",E29+SUM(E33:E39),SUM(V2:V16)+SUM(E33:E39))</f>
        <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f ca="1">E30+SUM(I33:I39)</f>
        <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f ca="1">ROUND(C5*C18*C19*C20*C21*C24,0)</f>
        <v>21151</v>
      </c>
      <c r="D29" s="2246"/>
      <c r="E29" s="2031">
        <f ca="1">ROUND(C29*D29,0)</f>
        <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f ca="1">ROUND(IF(E2="工业",C29*M39,C29*M38),0)</f>
        <v>5288</v>
      </c>
      <c r="D30" s="2251"/>
      <c r="E30" s="2031">
        <f ca="1">ROUND(C30*D30,0)</f>
        <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32" t="s">
        <v>2636</v>
      </c>
      <c r="B33" s="2259" t="s">
        <v>2637</v>
      </c>
      <c r="C33" s="54">
        <f ca="1">ROUND(D5*C19*C20*C24*F33,0)</f>
        <v>11216</v>
      </c>
      <c r="D33" s="2246"/>
      <c r="E33" s="50">
        <f t="shared" ref="E33:E39" ca="1" si="6">ROUND(C33*D33,0)</f>
        <v>0</v>
      </c>
      <c r="F33" s="50">
        <f>SUMIF(修正!A45:A56,G2,修正!B45:B56)</f>
        <v>0.7</v>
      </c>
      <c r="G33" s="50">
        <f t="shared" ref="G33" ca="1" si="7">ROUND(IF(E2="工业",C33*$M$39,C33*$M$38),0)</f>
        <v>2804</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33"/>
      <c r="B34" s="2162" t="s">
        <v>2638</v>
      </c>
      <c r="C34" s="54">
        <f ca="1">ROUND(D5*C19*C20*C24*F34,0)</f>
        <v>6409</v>
      </c>
      <c r="D34" s="2246"/>
      <c r="E34" s="50">
        <f t="shared" ca="1" si="6"/>
        <v>0</v>
      </c>
      <c r="F34" s="50">
        <f>SUMIF(修正!A45:A56,G2,修正!C45:C56)</f>
        <v>0.4</v>
      </c>
      <c r="G34" s="50">
        <f ca="1">ROUND(IF(E2="工业",C34*$M$39,C34*$M$38),0)</f>
        <v>1602</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33"/>
      <c r="B35" s="2162" t="s">
        <v>2639</v>
      </c>
      <c r="C35" s="54">
        <f ca="1">ROUND(D5*C19*C20*C24*F35,0)</f>
        <v>4486</v>
      </c>
      <c r="D35" s="2246"/>
      <c r="E35" s="50">
        <f t="shared" ca="1" si="6"/>
        <v>0</v>
      </c>
      <c r="F35" s="50">
        <f>SUMIF(修正!A45:A56,G2,修正!D45:D56)</f>
        <v>0.28000000000000003</v>
      </c>
      <c r="G35" s="50">
        <f ca="1">ROUND(IF(E2="工业",C35*$M$39,C35*$M$38),0)</f>
        <v>1122</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34"/>
      <c r="B36" s="2162" t="s">
        <v>2640</v>
      </c>
      <c r="C36" s="54">
        <f ca="1">ROUND(D5*C19*C20*C24*F36,0)</f>
        <v>4006</v>
      </c>
      <c r="D36" s="2246"/>
      <c r="E36" s="50">
        <f t="shared" ca="1" si="6"/>
        <v>0</v>
      </c>
      <c r="F36" s="50">
        <f>SUMIF(修正!A45:A56,G2,修正!E45:E56)</f>
        <v>0.25</v>
      </c>
      <c r="G36" s="50">
        <f ca="1">ROUND(IF(E2="工业",C36*$M$39,C36*$M$38),0)</f>
        <v>1002</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f ca="1">ROUND(D5*C19*C20*C24*F37,0)</f>
        <v>4006</v>
      </c>
      <c r="D37" s="2246"/>
      <c r="E37" s="50">
        <f t="shared" ca="1" si="6"/>
        <v>0</v>
      </c>
      <c r="F37" s="54">
        <f>SUMIF(修正!A45:A56,G2,修正!F45:F56)</f>
        <v>0.25</v>
      </c>
      <c r="G37" s="50">
        <f ca="1">ROUND(IF(E2="工业",C37*$M$39,C37*$M$38),0)</f>
        <v>1002</v>
      </c>
      <c r="H37" s="50">
        <f t="shared" si="9"/>
        <v>0</v>
      </c>
      <c r="I37" s="50">
        <f t="shared" ca="1" si="8"/>
        <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f ca="1">ROUND(POWER(1+E41,H41-G41)*(POWER(1+E41,G41)-1)/(POWER(1+E41,H41)-1),4)</f>
        <v>0</v>
      </c>
      <c r="D41" s="50" t="s">
        <v>2723</v>
      </c>
      <c r="E41" s="2269">
        <f ca="1">G20</f>
        <v>0.05</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hidden="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hidden="1">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hidden="1">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hidden="1"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hidden="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hidden="1">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hidden="1">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hidden="1"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1.0291999999999999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t="s">
        <v>30</v>
      </c>
      <c r="D70" s="2285">
        <f t="shared" ref="D70:D78" si="20">SUMIF($J$69:$N$69,C70,J70:N70)</f>
        <v>8.0000000000000002E-3</v>
      </c>
      <c r="E70" s="2286">
        <f>ROUND(SUM(D70:D78),4)</f>
        <v>2.92E-2</v>
      </c>
      <c r="F70" s="2287">
        <f>IF(E2="住宅",SUMIF(L1:L12,G2,N1:N12),"——")</f>
        <v>0.115</v>
      </c>
      <c r="G70" s="2288">
        <v>8.0000000000000002E-3</v>
      </c>
      <c r="H70" s="2289">
        <f t="shared" ref="H70:H78" si="21">IFERROR(ROUNDDOWN($F$70*I70/2,4),"——")</f>
        <v>8.0000000000000002E-3</v>
      </c>
      <c r="I70" s="2290">
        <v>0.14000000000000001</v>
      </c>
      <c r="J70" s="2291">
        <f t="shared" ref="J70:J78" si="22">K70+$G70</f>
        <v>1.6E-2</v>
      </c>
      <c r="K70" s="2291">
        <f t="shared" ref="K70:K78" si="23">$L70+$G70</f>
        <v>8.0000000000000002E-3</v>
      </c>
      <c r="L70" s="2291">
        <v>0</v>
      </c>
      <c r="M70" s="2291">
        <f t="shared" ref="M70:N78" si="24">L70-$G70</f>
        <v>-8.0000000000000002E-3</v>
      </c>
      <c r="N70" s="2291">
        <f t="shared" si="24"/>
        <v>-1.6E-2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t="s">
        <v>31</v>
      </c>
      <c r="D71" s="2285">
        <f t="shared" si="20"/>
        <v>0</v>
      </c>
      <c r="E71" s="2293"/>
      <c r="F71" s="2287"/>
      <c r="G71" s="2288">
        <v>1.72E-2</v>
      </c>
      <c r="H71" s="2289">
        <f t="shared" si="21"/>
        <v>1.72E-2</v>
      </c>
      <c r="I71" s="2290">
        <v>0.3</v>
      </c>
      <c r="J71" s="2291">
        <f t="shared" si="22"/>
        <v>3.44E-2</v>
      </c>
      <c r="K71" s="2291">
        <f t="shared" si="23"/>
        <v>1.72E-2</v>
      </c>
      <c r="L71" s="2291">
        <v>0</v>
      </c>
      <c r="M71" s="2291">
        <f t="shared" si="24"/>
        <v>-1.72E-2</v>
      </c>
      <c r="N71" s="2291">
        <f t="shared" si="24"/>
        <v>-3.44E-2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t="s">
        <v>30</v>
      </c>
      <c r="D72" s="2285">
        <f t="shared" si="20"/>
        <v>4.5999999999999999E-3</v>
      </c>
      <c r="E72" s="2293"/>
      <c r="F72" s="2287"/>
      <c r="G72" s="2288">
        <v>4.5999999999999999E-3</v>
      </c>
      <c r="H72" s="2289">
        <f t="shared" si="21"/>
        <v>4.5999999999999999E-3</v>
      </c>
      <c r="I72" s="2290">
        <v>0.08</v>
      </c>
      <c r="J72" s="2291">
        <f t="shared" si="22"/>
        <v>9.1999999999999998E-3</v>
      </c>
      <c r="K72" s="2291">
        <f t="shared" si="23"/>
        <v>4.5999999999999999E-3</v>
      </c>
      <c r="L72" s="2291">
        <v>0</v>
      </c>
      <c r="M72" s="2291">
        <f t="shared" si="24"/>
        <v>-4.5999999999999999E-3</v>
      </c>
      <c r="N72" s="2291">
        <f t="shared" si="24"/>
        <v>-9.1999999999999998E-3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t="s">
        <v>31</v>
      </c>
      <c r="D73" s="2285">
        <f t="shared" si="20"/>
        <v>0</v>
      </c>
      <c r="E73" s="2293"/>
      <c r="F73" s="2287"/>
      <c r="G73" s="2288">
        <v>2.3E-3</v>
      </c>
      <c r="H73" s="2289">
        <f t="shared" si="21"/>
        <v>2.3E-3</v>
      </c>
      <c r="I73" s="2290">
        <v>0.04</v>
      </c>
      <c r="J73" s="2291">
        <f t="shared" si="22"/>
        <v>4.5999999999999999E-3</v>
      </c>
      <c r="K73" s="2291">
        <f t="shared" si="23"/>
        <v>2.3E-3</v>
      </c>
      <c r="L73" s="2291">
        <v>0</v>
      </c>
      <c r="M73" s="2291">
        <f t="shared" si="24"/>
        <v>-2.3E-3</v>
      </c>
      <c r="N73" s="2291">
        <f t="shared" si="24"/>
        <v>-4.5999999999999999E-3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t="s">
        <v>31</v>
      </c>
      <c r="D74" s="2285">
        <f t="shared" si="20"/>
        <v>0</v>
      </c>
      <c r="E74" s="2293"/>
      <c r="F74" s="2287"/>
      <c r="G74" s="2288">
        <v>4.5999999999999999E-3</v>
      </c>
      <c r="H74" s="2289">
        <f t="shared" si="21"/>
        <v>4.5999999999999999E-3</v>
      </c>
      <c r="I74" s="2290">
        <v>0.08</v>
      </c>
      <c r="J74" s="2291">
        <f t="shared" si="22"/>
        <v>9.1999999999999998E-3</v>
      </c>
      <c r="K74" s="2291">
        <f t="shared" si="23"/>
        <v>4.5999999999999999E-3</v>
      </c>
      <c r="L74" s="2291">
        <v>0</v>
      </c>
      <c r="M74" s="2291">
        <f t="shared" si="24"/>
        <v>-4.5999999999999999E-3</v>
      </c>
      <c r="N74" s="2291">
        <f t="shared" si="24"/>
        <v>-9.1999999999999998E-3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t="s">
        <v>29</v>
      </c>
      <c r="D75" s="2285">
        <f t="shared" si="20"/>
        <v>1.38E-2</v>
      </c>
      <c r="E75" s="2293"/>
      <c r="F75" s="2287"/>
      <c r="G75" s="2288">
        <v>6.8999999999999999E-3</v>
      </c>
      <c r="H75" s="2289">
        <f t="shared" si="21"/>
        <v>6.8999999999999999E-3</v>
      </c>
      <c r="I75" s="2290">
        <v>0.12</v>
      </c>
      <c r="J75" s="2291">
        <f t="shared" si="22"/>
        <v>1.38E-2</v>
      </c>
      <c r="K75" s="2291">
        <f t="shared" si="23"/>
        <v>6.8999999999999999E-3</v>
      </c>
      <c r="L75" s="2291">
        <v>0</v>
      </c>
      <c r="M75" s="2291">
        <f t="shared" si="24"/>
        <v>-6.8999999999999999E-3</v>
      </c>
      <c r="N75" s="2291">
        <f t="shared" si="24"/>
        <v>-1.38E-2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t="s">
        <v>30</v>
      </c>
      <c r="D76" s="2285">
        <f t="shared" si="20"/>
        <v>2.8E-3</v>
      </c>
      <c r="E76" s="2293"/>
      <c r="F76" s="2287"/>
      <c r="G76" s="2288">
        <v>2.8E-3</v>
      </c>
      <c r="H76" s="2289">
        <f t="shared" si="21"/>
        <v>2.8E-3</v>
      </c>
      <c r="I76" s="2290">
        <v>0.05</v>
      </c>
      <c r="J76" s="2291">
        <f t="shared" si="22"/>
        <v>5.5999999999999999E-3</v>
      </c>
      <c r="K76" s="2291">
        <f t="shared" si="23"/>
        <v>2.8E-3</v>
      </c>
      <c r="L76" s="2291">
        <v>0</v>
      </c>
      <c r="M76" s="2291">
        <f t="shared" si="24"/>
        <v>-2.8E-3</v>
      </c>
      <c r="N76" s="2291">
        <f t="shared" si="24"/>
        <v>-5.5999999999999999E-3</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t="s">
        <v>31</v>
      </c>
      <c r="D77" s="2285">
        <f t="shared" si="20"/>
        <v>0</v>
      </c>
      <c r="E77" s="2293"/>
      <c r="F77" s="2287"/>
      <c r="G77" s="2288">
        <v>8.6E-3</v>
      </c>
      <c r="H77" s="2289">
        <f t="shared" si="21"/>
        <v>8.6E-3</v>
      </c>
      <c r="I77" s="2290">
        <v>0.15</v>
      </c>
      <c r="J77" s="2291">
        <f t="shared" si="22"/>
        <v>1.72E-2</v>
      </c>
      <c r="K77" s="2291">
        <f t="shared" si="23"/>
        <v>8.6E-3</v>
      </c>
      <c r="L77" s="2291">
        <v>0</v>
      </c>
      <c r="M77" s="2291">
        <f t="shared" si="24"/>
        <v>-8.6E-3</v>
      </c>
      <c r="N77" s="2291">
        <f t="shared" si="24"/>
        <v>-1.72E-2</v>
      </c>
      <c r="Q77" s="3061"/>
      <c r="R77" s="3061"/>
      <c r="S77" s="3061"/>
      <c r="T77" s="3061"/>
      <c r="U77" s="3061"/>
      <c r="V77" s="3061"/>
      <c r="W77" s="3061"/>
      <c r="AA77" s="1624"/>
      <c r="AG77" s="2267"/>
    </row>
    <row r="78" spans="1:33" ht="24.75" thickBot="1">
      <c r="A78" s="2298" t="s">
        <v>2681</v>
      </c>
      <c r="B78" s="2304"/>
      <c r="C78" s="2166" t="s">
        <v>31</v>
      </c>
      <c r="D78" s="2285">
        <f t="shared" si="20"/>
        <v>0</v>
      </c>
      <c r="E78" s="2300"/>
      <c r="F78" s="2287"/>
      <c r="G78" s="2288">
        <v>2.3E-3</v>
      </c>
      <c r="H78" s="2289">
        <f t="shared" si="21"/>
        <v>2.3E-3</v>
      </c>
      <c r="I78" s="2301">
        <v>0.04</v>
      </c>
      <c r="J78" s="2291">
        <f t="shared" si="22"/>
        <v>4.5999999999999999E-3</v>
      </c>
      <c r="K78" s="2291">
        <f t="shared" si="23"/>
        <v>2.3E-3</v>
      </c>
      <c r="L78" s="2291">
        <v>0</v>
      </c>
      <c r="M78" s="2291">
        <f t="shared" si="24"/>
        <v>-2.3E-3</v>
      </c>
      <c r="N78" s="2291">
        <f t="shared" si="24"/>
        <v>-4.5999999999999999E-3</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24" t="s">
        <v>2685</v>
      </c>
      <c r="B90" s="3524"/>
      <c r="C90" s="3524"/>
      <c r="D90" s="3524"/>
      <c r="E90" s="3524"/>
      <c r="F90" s="3524"/>
      <c r="G90" s="3524"/>
      <c r="H90" s="3524"/>
      <c r="I90" s="3524"/>
      <c r="J90" s="3524"/>
      <c r="K90" s="2308"/>
      <c r="L90" s="2308"/>
      <c r="M90" s="2308"/>
      <c r="N90" s="2308"/>
      <c r="Q90" s="3061"/>
      <c r="R90" s="3061"/>
      <c r="S90" s="3061"/>
      <c r="T90" s="3061"/>
      <c r="U90" s="3061"/>
      <c r="V90" s="3061"/>
      <c r="W90" s="3061"/>
    </row>
    <row r="91" spans="1:33">
      <c r="A91" s="3526" t="s">
        <v>2686</v>
      </c>
      <c r="B91" s="3526"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26"/>
      <c r="B92" s="3526"/>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27"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2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2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2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2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2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28"/>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2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27" t="s">
        <v>2690</v>
      </c>
      <c r="B101" s="2315" t="s">
        <v>2691</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28"/>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28"/>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28"/>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28"/>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28"/>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28"/>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28"/>
      <c r="B108" s="3530"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29"/>
      <c r="B109" s="3531"/>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25" t="s">
        <v>2693</v>
      </c>
      <c r="B110" s="3525"/>
      <c r="C110" s="3525"/>
      <c r="D110" s="3525"/>
      <c r="E110" s="3525"/>
      <c r="F110" s="3525"/>
      <c r="G110" s="3525"/>
      <c r="H110" s="3525"/>
      <c r="I110" s="3525"/>
      <c r="J110" s="3525"/>
      <c r="K110" s="2080"/>
      <c r="L110" s="2080"/>
      <c r="M110" s="2080"/>
      <c r="N110" s="2080"/>
      <c r="Q110" s="3061"/>
      <c r="R110" s="3061"/>
      <c r="S110" s="3061"/>
      <c r="T110" s="3061"/>
      <c r="U110" s="3061"/>
      <c r="V110" s="3061"/>
      <c r="W110" s="3061"/>
    </row>
    <row r="112" spans="1:23" ht="13.5" thickBot="1"/>
    <row r="113" spans="1:13" ht="25.5" thickBot="1">
      <c r="A113" s="2317" t="s">
        <v>2694</v>
      </c>
      <c r="B113" s="2318">
        <f>G3</f>
        <v>2.5</v>
      </c>
      <c r="C113" s="2319" t="s">
        <v>2695</v>
      </c>
      <c r="D113" s="2320">
        <f>SUMPRODUCT((A115:A118=F113)*(B114:M114=H113)*B115:M118)</f>
        <v>0.8548</v>
      </c>
      <c r="E113" s="1602" t="s">
        <v>2581</v>
      </c>
      <c r="F113" s="2321" t="str">
        <f>E2</f>
        <v>住宅</v>
      </c>
      <c r="G113" s="1602" t="s">
        <v>2515</v>
      </c>
      <c r="H113" s="2321" t="str">
        <f>G2</f>
        <v>六级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2583</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2584</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2585</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7" t="s">
        <v>779</v>
      </c>
      <c r="B1" s="353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7" t="s">
        <v>105</v>
      </c>
      <c r="B1" s="3537"/>
      <c r="C1" s="3537"/>
      <c r="D1" s="3537"/>
      <c r="E1" s="3537"/>
      <c r="F1" s="353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8" t="s">
        <v>118</v>
      </c>
      <c r="B2" s="3538"/>
      <c r="C2" s="3538"/>
      <c r="D2" s="3538"/>
      <c r="E2" s="3538"/>
      <c r="F2" s="353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9530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1" t="s">
        <v>132</v>
      </c>
      <c r="B18" s="768" t="s">
        <v>517</v>
      </c>
      <c r="C18" s="769" t="s">
        <v>518</v>
      </c>
      <c r="D18" s="770"/>
      <c r="E18" s="768">
        <v>1</v>
      </c>
      <c r="F18" s="771" t="s">
        <v>519</v>
      </c>
      <c r="G18" s="772"/>
      <c r="H18" s="764"/>
      <c r="I18" s="764"/>
    </row>
    <row r="19" spans="1:9" s="773" customFormat="1" ht="19.5" customHeight="1">
      <c r="A19" s="3541"/>
      <c r="B19" s="3541" t="s">
        <v>520</v>
      </c>
      <c r="C19" s="769" t="s">
        <v>521</v>
      </c>
      <c r="D19" s="770"/>
      <c r="E19" s="768">
        <v>0.9</v>
      </c>
      <c r="F19" s="771" t="s">
        <v>522</v>
      </c>
      <c r="G19" s="772"/>
      <c r="H19" s="764"/>
      <c r="I19" s="764"/>
    </row>
    <row r="20" spans="1:9" s="773" customFormat="1" ht="19.5" customHeight="1">
      <c r="A20" s="3541"/>
      <c r="B20" s="3541"/>
      <c r="C20" s="769" t="s">
        <v>523</v>
      </c>
      <c r="D20" s="770"/>
      <c r="E20" s="768">
        <v>1.1000000000000001</v>
      </c>
      <c r="F20" s="771" t="s">
        <v>524</v>
      </c>
      <c r="G20" s="772"/>
      <c r="H20" s="764"/>
      <c r="I20" s="764"/>
    </row>
    <row r="21" spans="1:9" s="773" customFormat="1" ht="19.5" customHeight="1">
      <c r="A21" s="3541"/>
      <c r="B21" s="3541"/>
      <c r="C21" s="769" t="s">
        <v>525</v>
      </c>
      <c r="D21" s="770"/>
      <c r="E21" s="768">
        <v>0.8</v>
      </c>
      <c r="F21" s="771" t="s">
        <v>526</v>
      </c>
      <c r="G21" s="772"/>
      <c r="H21" s="764"/>
      <c r="I21" s="764"/>
    </row>
    <row r="22" spans="1:9" s="773" customFormat="1" ht="19.5" customHeight="1">
      <c r="A22" s="3541"/>
      <c r="B22" s="3541"/>
      <c r="C22" s="769" t="s">
        <v>527</v>
      </c>
      <c r="D22" s="770"/>
      <c r="E22" s="768">
        <v>0.5</v>
      </c>
      <c r="F22" s="771"/>
      <c r="G22" s="772"/>
      <c r="H22" s="764"/>
      <c r="I22" s="764"/>
    </row>
    <row r="23" spans="1:9" s="773" customFormat="1" ht="19.5" customHeight="1">
      <c r="A23" s="3541" t="s">
        <v>133</v>
      </c>
      <c r="B23" s="768" t="s">
        <v>517</v>
      </c>
      <c r="C23" s="769" t="s">
        <v>528</v>
      </c>
      <c r="D23" s="770"/>
      <c r="E23" s="768">
        <v>1</v>
      </c>
      <c r="F23" s="771" t="s">
        <v>529</v>
      </c>
      <c r="G23" s="772"/>
      <c r="H23" s="764"/>
      <c r="I23" s="764"/>
    </row>
    <row r="24" spans="1:9" s="773" customFormat="1" ht="19.5" customHeight="1">
      <c r="A24" s="3541"/>
      <c r="B24" s="3541" t="s">
        <v>520</v>
      </c>
      <c r="C24" s="769" t="s">
        <v>530</v>
      </c>
      <c r="D24" s="770"/>
      <c r="E24" s="768">
        <v>0.5</v>
      </c>
      <c r="F24" s="771"/>
      <c r="G24" s="772"/>
      <c r="H24" s="764"/>
      <c r="I24" s="764"/>
    </row>
    <row r="25" spans="1:9" s="773" customFormat="1" ht="19.5" customHeight="1">
      <c r="A25" s="3541"/>
      <c r="B25" s="3541"/>
      <c r="C25" s="769" t="s">
        <v>531</v>
      </c>
      <c r="D25" s="770"/>
      <c r="E25" s="768">
        <v>1.1000000000000001</v>
      </c>
      <c r="F25" s="771"/>
      <c r="G25" s="772"/>
      <c r="H25" s="764"/>
      <c r="I25" s="764"/>
    </row>
    <row r="26" spans="1:9" s="773" customFormat="1" ht="19.5" customHeight="1">
      <c r="A26" s="3541"/>
      <c r="B26" s="3541"/>
      <c r="C26" s="769" t="s">
        <v>532</v>
      </c>
      <c r="D26" s="770"/>
      <c r="E26" s="768">
        <v>1.1000000000000001</v>
      </c>
      <c r="F26" s="771"/>
      <c r="G26" s="772"/>
      <c r="H26" s="764"/>
      <c r="I26" s="764"/>
    </row>
    <row r="27" spans="1:9" s="773" customFormat="1" ht="19.5" customHeight="1">
      <c r="A27" s="3541"/>
      <c r="B27" s="3541"/>
      <c r="C27" s="769" t="s">
        <v>533</v>
      </c>
      <c r="D27" s="770"/>
      <c r="E27" s="768">
        <v>0.9</v>
      </c>
      <c r="F27" s="771" t="s">
        <v>534</v>
      </c>
      <c r="G27" s="772"/>
      <c r="H27" s="764"/>
      <c r="I27" s="764"/>
    </row>
    <row r="28" spans="1:9" s="773" customFormat="1" ht="19.5" customHeight="1">
      <c r="A28" s="3541"/>
      <c r="B28" s="3541"/>
      <c r="C28" s="769" t="s">
        <v>535</v>
      </c>
      <c r="D28" s="770"/>
      <c r="E28" s="768">
        <v>0.9</v>
      </c>
      <c r="F28" s="771" t="s">
        <v>536</v>
      </c>
      <c r="G28" s="772"/>
      <c r="H28" s="764"/>
      <c r="I28" s="764"/>
    </row>
    <row r="29" spans="1:9" s="773" customFormat="1" ht="19.5" customHeight="1">
      <c r="A29" s="3541"/>
      <c r="B29" s="3541"/>
      <c r="C29" s="769" t="s">
        <v>537</v>
      </c>
      <c r="D29" s="770"/>
      <c r="E29" s="768">
        <v>0.9</v>
      </c>
      <c r="F29" s="771" t="s">
        <v>538</v>
      </c>
      <c r="G29" s="772"/>
      <c r="H29" s="764"/>
      <c r="I29" s="764"/>
    </row>
    <row r="30" spans="1:9" s="773" customFormat="1" ht="19.5" customHeight="1">
      <c r="A30" s="3541"/>
      <c r="B30" s="3541"/>
      <c r="C30" s="769" t="s">
        <v>539</v>
      </c>
      <c r="D30" s="770"/>
      <c r="E30" s="768">
        <v>0.9</v>
      </c>
      <c r="F30" s="771" t="s">
        <v>540</v>
      </c>
      <c r="G30" s="772"/>
      <c r="H30" s="764"/>
      <c r="I30" s="764"/>
    </row>
    <row r="31" spans="1:9" s="773" customFormat="1" ht="19.5" customHeight="1">
      <c r="A31" s="3541"/>
      <c r="B31" s="3541"/>
      <c r="C31" s="769" t="s">
        <v>541</v>
      </c>
      <c r="D31" s="770"/>
      <c r="E31" s="768">
        <v>0.8</v>
      </c>
      <c r="F31" s="771" t="s">
        <v>542</v>
      </c>
      <c r="G31" s="772"/>
      <c r="H31" s="764"/>
      <c r="I31" s="764"/>
    </row>
    <row r="32" spans="1:9" s="773" customFormat="1" ht="19.5" customHeight="1">
      <c r="A32" s="3541"/>
      <c r="B32" s="3541"/>
      <c r="C32" s="769" t="s">
        <v>543</v>
      </c>
      <c r="D32" s="770"/>
      <c r="E32" s="768">
        <v>0.8</v>
      </c>
      <c r="F32" s="771" t="s">
        <v>544</v>
      </c>
      <c r="G32" s="772"/>
      <c r="H32" s="764"/>
      <c r="I32" s="764"/>
    </row>
    <row r="33" spans="1:9" s="773" customFormat="1" ht="19.5" customHeight="1">
      <c r="A33" s="3541" t="s">
        <v>134</v>
      </c>
      <c r="B33" s="768" t="s">
        <v>517</v>
      </c>
      <c r="C33" s="769" t="s">
        <v>545</v>
      </c>
      <c r="D33" s="770"/>
      <c r="E33" s="768">
        <v>1</v>
      </c>
      <c r="F33" s="771" t="s">
        <v>546</v>
      </c>
      <c r="G33" s="772"/>
      <c r="H33" s="764"/>
      <c r="I33" s="764"/>
    </row>
    <row r="34" spans="1:9" s="773" customFormat="1" ht="19.5" customHeight="1">
      <c r="A34" s="3541"/>
      <c r="B34" s="768" t="s">
        <v>520</v>
      </c>
      <c r="C34" s="769" t="s">
        <v>547</v>
      </c>
      <c r="D34" s="770"/>
      <c r="E34" s="768">
        <v>1.5</v>
      </c>
      <c r="F34" s="771" t="s">
        <v>548</v>
      </c>
      <c r="G34" s="772"/>
      <c r="H34" s="764"/>
      <c r="I34" s="764"/>
    </row>
    <row r="35" spans="1:9" s="773" customFormat="1" ht="19.5" customHeight="1">
      <c r="A35" s="3541" t="s">
        <v>135</v>
      </c>
      <c r="B35" s="768" t="s">
        <v>517</v>
      </c>
      <c r="C35" s="769" t="s">
        <v>549</v>
      </c>
      <c r="D35" s="770"/>
      <c r="E35" s="768">
        <v>1</v>
      </c>
      <c r="F35" s="771" t="s">
        <v>550</v>
      </c>
      <c r="G35" s="772"/>
      <c r="H35" s="764"/>
      <c r="I35" s="764"/>
    </row>
    <row r="36" spans="1:9" s="773" customFormat="1" ht="19.5" customHeight="1">
      <c r="A36" s="3541"/>
      <c r="B36" s="3541" t="s">
        <v>520</v>
      </c>
      <c r="C36" s="769" t="s">
        <v>551</v>
      </c>
      <c r="D36" s="770"/>
      <c r="E36" s="768">
        <v>1</v>
      </c>
      <c r="F36" s="771" t="s">
        <v>552</v>
      </c>
      <c r="G36" s="772"/>
      <c r="H36" s="764"/>
      <c r="I36" s="764"/>
    </row>
    <row r="37" spans="1:9" s="773" customFormat="1" ht="19.5" customHeight="1">
      <c r="A37" s="3541"/>
      <c r="B37" s="3541"/>
      <c r="C37" s="769" t="s">
        <v>553</v>
      </c>
      <c r="D37" s="770"/>
      <c r="E37" s="768">
        <v>1.5</v>
      </c>
      <c r="F37" s="771" t="s">
        <v>554</v>
      </c>
      <c r="G37" s="772"/>
      <c r="H37" s="764"/>
      <c r="I37" s="764"/>
    </row>
    <row r="38" spans="1:9" s="773" customFormat="1" ht="19.5" customHeight="1">
      <c r="A38" s="3541"/>
      <c r="B38" s="3541"/>
      <c r="C38" s="769" t="s">
        <v>555</v>
      </c>
      <c r="D38" s="770"/>
      <c r="E38" s="768">
        <v>1</v>
      </c>
      <c r="F38" s="771" t="s">
        <v>556</v>
      </c>
      <c r="G38" s="772"/>
      <c r="H38" s="764"/>
      <c r="I38" s="764"/>
    </row>
    <row r="39" spans="1:9" s="773" customFormat="1" ht="19.5" customHeight="1">
      <c r="A39" s="3541"/>
      <c r="B39" s="354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1" t="s">
        <v>571</v>
      </c>
      <c r="C61" s="682" t="s">
        <v>572</v>
      </c>
      <c r="D61" s="682" t="s">
        <v>573</v>
      </c>
      <c r="E61" s="781">
        <v>0.5</v>
      </c>
      <c r="F61" s="768">
        <v>80</v>
      </c>
    </row>
    <row r="62" spans="1:8" s="764" customFormat="1" ht="24">
      <c r="A62" s="768">
        <v>2</v>
      </c>
      <c r="B62" s="3541"/>
      <c r="C62" s="682" t="s">
        <v>574</v>
      </c>
      <c r="D62" s="682" t="s">
        <v>575</v>
      </c>
      <c r="E62" s="781">
        <v>0.5</v>
      </c>
      <c r="F62" s="768">
        <v>80</v>
      </c>
    </row>
    <row r="63" spans="1:8" s="764" customFormat="1" ht="36">
      <c r="A63" s="768">
        <v>3</v>
      </c>
      <c r="B63" s="3541"/>
      <c r="C63" s="682" t="s">
        <v>576</v>
      </c>
      <c r="D63" s="682" t="s">
        <v>577</v>
      </c>
      <c r="E63" s="781">
        <v>0.5</v>
      </c>
      <c r="F63" s="768">
        <v>80</v>
      </c>
    </row>
    <row r="64" spans="1:8" s="764" customFormat="1" ht="36">
      <c r="A64" s="768">
        <v>4</v>
      </c>
      <c r="B64" s="3541"/>
      <c r="C64" s="682" t="s">
        <v>578</v>
      </c>
      <c r="D64" s="682" t="s">
        <v>579</v>
      </c>
      <c r="E64" s="781">
        <v>0.4</v>
      </c>
      <c r="F64" s="768">
        <v>60</v>
      </c>
    </row>
    <row r="65" spans="1:6" s="764" customFormat="1" ht="36">
      <c r="A65" s="768">
        <v>5</v>
      </c>
      <c r="B65" s="3541"/>
      <c r="C65" s="682" t="s">
        <v>580</v>
      </c>
      <c r="D65" s="682" t="s">
        <v>581</v>
      </c>
      <c r="E65" s="781">
        <v>0.2</v>
      </c>
      <c r="F65" s="768">
        <v>30</v>
      </c>
    </row>
    <row r="66" spans="1:6" s="764" customFormat="1" ht="36">
      <c r="A66" s="768">
        <v>6</v>
      </c>
      <c r="B66" s="3541"/>
      <c r="C66" s="682" t="s">
        <v>582</v>
      </c>
      <c r="D66" s="682" t="s">
        <v>583</v>
      </c>
      <c r="E66" s="781">
        <v>0.3</v>
      </c>
      <c r="F66" s="768">
        <v>50</v>
      </c>
    </row>
    <row r="67" spans="1:6" s="764" customFormat="1" ht="36">
      <c r="A67" s="768">
        <v>7</v>
      </c>
      <c r="B67" s="3541"/>
      <c r="C67" s="682" t="s">
        <v>584</v>
      </c>
      <c r="D67" s="682" t="s">
        <v>585</v>
      </c>
      <c r="E67" s="781">
        <v>0.2</v>
      </c>
      <c r="F67" s="768">
        <v>30</v>
      </c>
    </row>
    <row r="68" spans="1:6" s="764" customFormat="1" ht="36">
      <c r="A68" s="768">
        <v>8</v>
      </c>
      <c r="B68" s="3541"/>
      <c r="C68" s="682" t="s">
        <v>586</v>
      </c>
      <c r="D68" s="682" t="s">
        <v>587</v>
      </c>
      <c r="E68" s="781">
        <v>0.2</v>
      </c>
      <c r="F68" s="768">
        <v>30</v>
      </c>
    </row>
    <row r="69" spans="1:6" s="764" customFormat="1" ht="36">
      <c r="A69" s="768">
        <v>9</v>
      </c>
      <c r="B69" s="3541"/>
      <c r="C69" s="682" t="s">
        <v>588</v>
      </c>
      <c r="D69" s="682" t="s">
        <v>589</v>
      </c>
      <c r="E69" s="781">
        <v>0.2</v>
      </c>
      <c r="F69" s="768">
        <v>30</v>
      </c>
    </row>
    <row r="70" spans="1:6" s="764" customFormat="1" ht="48">
      <c r="A70" s="768">
        <v>10</v>
      </c>
      <c r="B70" s="3541"/>
      <c r="C70" s="682" t="s">
        <v>590</v>
      </c>
      <c r="D70" s="682" t="s">
        <v>591</v>
      </c>
      <c r="E70" s="781">
        <v>0.2</v>
      </c>
      <c r="F70" s="768">
        <v>30</v>
      </c>
    </row>
    <row r="71" spans="1:6" s="764" customFormat="1" ht="48">
      <c r="A71" s="768">
        <v>11</v>
      </c>
      <c r="B71" s="3541"/>
      <c r="C71" s="682" t="s">
        <v>592</v>
      </c>
      <c r="D71" s="682" t="s">
        <v>593</v>
      </c>
      <c r="E71" s="781">
        <v>0.2</v>
      </c>
      <c r="F71" s="768">
        <v>30</v>
      </c>
    </row>
    <row r="72" spans="1:6" s="764" customFormat="1" ht="36">
      <c r="A72" s="768">
        <v>12</v>
      </c>
      <c r="B72" s="3541"/>
      <c r="C72" s="682" t="s">
        <v>594</v>
      </c>
      <c r="D72" s="682" t="s">
        <v>595</v>
      </c>
      <c r="E72" s="781">
        <v>0.5</v>
      </c>
      <c r="F72" s="768">
        <v>80</v>
      </c>
    </row>
    <row r="73" spans="1:6" s="764" customFormat="1" ht="24">
      <c r="A73" s="768">
        <v>13</v>
      </c>
      <c r="B73" s="3541"/>
      <c r="C73" s="682" t="s">
        <v>596</v>
      </c>
      <c r="D73" s="682" t="s">
        <v>597</v>
      </c>
      <c r="E73" s="781">
        <v>0.4</v>
      </c>
      <c r="F73" s="768">
        <v>60</v>
      </c>
    </row>
    <row r="74" spans="1:6" s="764" customFormat="1" ht="24">
      <c r="A74" s="768">
        <v>14</v>
      </c>
      <c r="B74" s="3541"/>
      <c r="C74" s="682" t="s">
        <v>598</v>
      </c>
      <c r="D74" s="682" t="s">
        <v>599</v>
      </c>
      <c r="E74" s="781">
        <v>0.2</v>
      </c>
      <c r="F74" s="768">
        <v>30</v>
      </c>
    </row>
    <row r="75" spans="1:6" s="764" customFormat="1" ht="24">
      <c r="A75" s="768">
        <v>15</v>
      </c>
      <c r="B75" s="3541"/>
      <c r="C75" s="682" t="s">
        <v>600</v>
      </c>
      <c r="D75" s="682" t="s">
        <v>601</v>
      </c>
      <c r="E75" s="781">
        <v>0.2</v>
      </c>
      <c r="F75" s="768">
        <v>30</v>
      </c>
    </row>
    <row r="76" spans="1:6" s="764" customFormat="1" ht="24">
      <c r="A76" s="768">
        <v>16</v>
      </c>
      <c r="B76" s="3541" t="s">
        <v>602</v>
      </c>
      <c r="C76" s="682" t="s">
        <v>603</v>
      </c>
      <c r="D76" s="682" t="s">
        <v>604</v>
      </c>
      <c r="E76" s="781">
        <v>0.5</v>
      </c>
      <c r="F76" s="768">
        <v>80</v>
      </c>
    </row>
    <row r="77" spans="1:6" s="764" customFormat="1" ht="24">
      <c r="A77" s="768">
        <v>17</v>
      </c>
      <c r="B77" s="3541"/>
      <c r="C77" s="682" t="s">
        <v>605</v>
      </c>
      <c r="D77" s="682" t="s">
        <v>606</v>
      </c>
      <c r="E77" s="781">
        <v>0.5</v>
      </c>
      <c r="F77" s="768">
        <v>80</v>
      </c>
    </row>
    <row r="78" spans="1:6" s="764" customFormat="1" ht="24">
      <c r="A78" s="768">
        <v>18</v>
      </c>
      <c r="B78" s="3541"/>
      <c r="C78" s="682" t="s">
        <v>607</v>
      </c>
      <c r="D78" s="682" t="s">
        <v>608</v>
      </c>
      <c r="E78" s="781">
        <v>0.2</v>
      </c>
      <c r="F78" s="768">
        <v>30</v>
      </c>
    </row>
    <row r="79" spans="1:6" s="764" customFormat="1" ht="24">
      <c r="A79" s="768">
        <v>19</v>
      </c>
      <c r="B79" s="3541"/>
      <c r="C79" s="682" t="s">
        <v>609</v>
      </c>
      <c r="D79" s="682" t="s">
        <v>610</v>
      </c>
      <c r="E79" s="781">
        <v>0.5</v>
      </c>
      <c r="F79" s="768">
        <v>80</v>
      </c>
    </row>
    <row r="80" spans="1:6" s="764" customFormat="1" ht="36">
      <c r="A80" s="768">
        <v>20</v>
      </c>
      <c r="B80" s="3541"/>
      <c r="C80" s="682" t="s">
        <v>611</v>
      </c>
      <c r="D80" s="682" t="s">
        <v>612</v>
      </c>
      <c r="E80" s="781">
        <v>0.2</v>
      </c>
      <c r="F80" s="768">
        <v>30</v>
      </c>
    </row>
    <row r="81" spans="1:6" s="764" customFormat="1" ht="36">
      <c r="A81" s="768">
        <v>21</v>
      </c>
      <c r="B81" s="3541"/>
      <c r="C81" s="682" t="s">
        <v>613</v>
      </c>
      <c r="D81" s="682" t="s">
        <v>614</v>
      </c>
      <c r="E81" s="781">
        <v>0.2</v>
      </c>
      <c r="F81" s="768">
        <v>30</v>
      </c>
    </row>
    <row r="82" spans="1:6" s="764" customFormat="1" ht="48">
      <c r="A82" s="768">
        <v>22</v>
      </c>
      <c r="B82" s="3541"/>
      <c r="C82" s="682" t="s">
        <v>615</v>
      </c>
      <c r="D82" s="682" t="s">
        <v>616</v>
      </c>
      <c r="E82" s="781">
        <v>0.2</v>
      </c>
      <c r="F82" s="768">
        <v>30</v>
      </c>
    </row>
    <row r="83" spans="1:6" s="764" customFormat="1" ht="48">
      <c r="A83" s="768">
        <v>23</v>
      </c>
      <c r="B83" s="3541"/>
      <c r="C83" s="682" t="s">
        <v>617</v>
      </c>
      <c r="D83" s="682" t="s">
        <v>618</v>
      </c>
      <c r="E83" s="781">
        <v>0.2</v>
      </c>
      <c r="F83" s="768">
        <v>30</v>
      </c>
    </row>
    <row r="84" spans="1:6" s="764" customFormat="1" ht="36">
      <c r="A84" s="768">
        <v>24</v>
      </c>
      <c r="B84" s="3541"/>
      <c r="C84" s="682" t="s">
        <v>619</v>
      </c>
      <c r="D84" s="682" t="s">
        <v>620</v>
      </c>
      <c r="E84" s="781">
        <v>0.2</v>
      </c>
      <c r="F84" s="768">
        <v>30</v>
      </c>
    </row>
    <row r="85" spans="1:6" s="764" customFormat="1" ht="36">
      <c r="A85" s="768">
        <v>25</v>
      </c>
      <c r="B85" s="3541"/>
      <c r="C85" s="682" t="s">
        <v>621</v>
      </c>
      <c r="D85" s="682" t="s">
        <v>622</v>
      </c>
      <c r="E85" s="781">
        <v>0.5</v>
      </c>
      <c r="F85" s="768">
        <v>80</v>
      </c>
    </row>
    <row r="86" spans="1:6" s="764" customFormat="1" ht="36">
      <c r="A86" s="768">
        <v>26</v>
      </c>
      <c r="B86" s="3541"/>
      <c r="C86" s="682" t="s">
        <v>623</v>
      </c>
      <c r="D86" s="682" t="s">
        <v>624</v>
      </c>
      <c r="E86" s="781">
        <v>0.2</v>
      </c>
      <c r="F86" s="768">
        <v>30</v>
      </c>
    </row>
    <row r="87" spans="1:6" s="764" customFormat="1" ht="36">
      <c r="A87" s="768">
        <v>27</v>
      </c>
      <c r="B87" s="3541"/>
      <c r="C87" s="682" t="s">
        <v>625</v>
      </c>
      <c r="D87" s="682" t="s">
        <v>626</v>
      </c>
      <c r="E87" s="781">
        <v>0.2</v>
      </c>
      <c r="F87" s="768">
        <v>30</v>
      </c>
    </row>
    <row r="88" spans="1:6" s="764" customFormat="1" ht="36">
      <c r="A88" s="768">
        <v>28</v>
      </c>
      <c r="B88" s="3541"/>
      <c r="C88" s="682" t="s">
        <v>627</v>
      </c>
      <c r="D88" s="682" t="s">
        <v>628</v>
      </c>
      <c r="E88" s="781">
        <v>0.2</v>
      </c>
      <c r="F88" s="768">
        <v>30</v>
      </c>
    </row>
    <row r="89" spans="1:6" s="764" customFormat="1" ht="24">
      <c r="A89" s="768">
        <v>29</v>
      </c>
      <c r="B89" s="3541"/>
      <c r="C89" s="682" t="s">
        <v>629</v>
      </c>
      <c r="D89" s="682" t="s">
        <v>630</v>
      </c>
      <c r="E89" s="781">
        <v>0.2</v>
      </c>
      <c r="F89" s="768">
        <v>30</v>
      </c>
    </row>
    <row r="90" spans="1:6" s="764" customFormat="1" ht="24">
      <c r="A90" s="768">
        <v>30</v>
      </c>
      <c r="B90" s="3541"/>
      <c r="C90" s="682" t="s">
        <v>631</v>
      </c>
      <c r="D90" s="682" t="s">
        <v>632</v>
      </c>
      <c r="E90" s="781">
        <v>0.2</v>
      </c>
      <c r="F90" s="768">
        <v>30</v>
      </c>
    </row>
    <row r="91" spans="1:6" s="764" customFormat="1" ht="36">
      <c r="A91" s="768">
        <v>31</v>
      </c>
      <c r="B91" s="3541"/>
      <c r="C91" s="682" t="s">
        <v>633</v>
      </c>
      <c r="D91" s="682" t="s">
        <v>634</v>
      </c>
      <c r="E91" s="781">
        <v>0.2</v>
      </c>
      <c r="F91" s="768">
        <v>30</v>
      </c>
    </row>
    <row r="92" spans="1:6" s="764" customFormat="1" ht="24">
      <c r="A92" s="768">
        <v>32</v>
      </c>
      <c r="B92" s="3541" t="s">
        <v>635</v>
      </c>
      <c r="C92" s="768" t="s">
        <v>636</v>
      </c>
      <c r="D92" s="682" t="s">
        <v>637</v>
      </c>
      <c r="E92" s="781">
        <v>0.2</v>
      </c>
      <c r="F92" s="768">
        <v>30</v>
      </c>
    </row>
    <row r="93" spans="1:6" s="764" customFormat="1" ht="36">
      <c r="A93" s="768">
        <v>33</v>
      </c>
      <c r="B93" s="3541"/>
      <c r="C93" s="768" t="s">
        <v>638</v>
      </c>
      <c r="D93" s="682" t="s">
        <v>639</v>
      </c>
      <c r="E93" s="781">
        <v>0.2</v>
      </c>
      <c r="F93" s="768">
        <v>30</v>
      </c>
    </row>
    <row r="94" spans="1:6" s="764" customFormat="1" ht="48">
      <c r="A94" s="768">
        <v>34</v>
      </c>
      <c r="B94" s="3541"/>
      <c r="C94" s="768" t="s">
        <v>640</v>
      </c>
      <c r="D94" s="682" t="s">
        <v>641</v>
      </c>
      <c r="E94" s="781">
        <v>0.2</v>
      </c>
      <c r="F94" s="768">
        <v>30</v>
      </c>
    </row>
    <row r="95" spans="1:6" s="764" customFormat="1" ht="36">
      <c r="A95" s="768">
        <v>35</v>
      </c>
      <c r="B95" s="3541"/>
      <c r="C95" s="768" t="s">
        <v>642</v>
      </c>
      <c r="D95" s="682" t="s">
        <v>643</v>
      </c>
      <c r="E95" s="781">
        <v>0.2</v>
      </c>
      <c r="F95" s="768">
        <v>30</v>
      </c>
    </row>
    <row r="96" spans="1:6" s="764" customFormat="1" ht="48">
      <c r="A96" s="768">
        <v>36</v>
      </c>
      <c r="B96" s="3541"/>
      <c r="C96" s="682" t="s">
        <v>644</v>
      </c>
      <c r="D96" s="682" t="s">
        <v>645</v>
      </c>
      <c r="E96" s="781">
        <v>0.2</v>
      </c>
      <c r="F96" s="768">
        <v>30</v>
      </c>
    </row>
    <row r="97" spans="1:6" s="764" customFormat="1" ht="36">
      <c r="A97" s="768">
        <v>37</v>
      </c>
      <c r="B97" s="3541"/>
      <c r="C97" s="768" t="s">
        <v>646</v>
      </c>
      <c r="D97" s="682" t="s">
        <v>647</v>
      </c>
      <c r="E97" s="781">
        <v>0.2</v>
      </c>
      <c r="F97" s="768">
        <v>30</v>
      </c>
    </row>
    <row r="98" spans="1:6" s="764" customFormat="1" ht="36">
      <c r="A98" s="768">
        <v>38</v>
      </c>
      <c r="B98" s="3541"/>
      <c r="C98" s="768" t="s">
        <v>648</v>
      </c>
      <c r="D98" s="682" t="s">
        <v>649</v>
      </c>
      <c r="E98" s="781">
        <v>0.2</v>
      </c>
      <c r="F98" s="768">
        <v>30</v>
      </c>
    </row>
    <row r="99" spans="1:6" s="764" customFormat="1" ht="36">
      <c r="A99" s="768">
        <v>39</v>
      </c>
      <c r="B99" s="3541" t="s">
        <v>650</v>
      </c>
      <c r="C99" s="768" t="s">
        <v>651</v>
      </c>
      <c r="D99" s="682" t="s">
        <v>652</v>
      </c>
      <c r="E99" s="781">
        <v>0.3</v>
      </c>
      <c r="F99" s="768">
        <v>50</v>
      </c>
    </row>
    <row r="100" spans="1:6" s="764" customFormat="1" ht="24">
      <c r="A100" s="768">
        <v>40</v>
      </c>
      <c r="B100" s="3541"/>
      <c r="C100" s="768" t="s">
        <v>653</v>
      </c>
      <c r="D100" s="682" t="s">
        <v>654</v>
      </c>
      <c r="E100" s="781">
        <v>0.2</v>
      </c>
      <c r="F100" s="768">
        <v>30</v>
      </c>
    </row>
    <row r="101" spans="1:6" s="764" customFormat="1" ht="36">
      <c r="A101" s="768">
        <v>41</v>
      </c>
      <c r="B101" s="354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1" t="s">
        <v>665</v>
      </c>
      <c r="C105" s="768" t="s">
        <v>666</v>
      </c>
      <c r="D105" s="682" t="s">
        <v>667</v>
      </c>
      <c r="E105" s="781">
        <v>0.2</v>
      </c>
      <c r="F105" s="768">
        <v>30</v>
      </c>
    </row>
    <row r="106" spans="1:6" s="764" customFormat="1" ht="36">
      <c r="A106" s="768">
        <v>46</v>
      </c>
      <c r="B106" s="3541"/>
      <c r="C106" s="768" t="s">
        <v>668</v>
      </c>
      <c r="D106" s="682" t="s">
        <v>669</v>
      </c>
      <c r="E106" s="781">
        <v>0.2</v>
      </c>
      <c r="F106" s="768">
        <v>30</v>
      </c>
    </row>
    <row r="107" spans="1:6" s="764" customFormat="1" ht="36">
      <c r="A107" s="768">
        <v>47</v>
      </c>
      <c r="B107" s="3541" t="s">
        <v>670</v>
      </c>
      <c r="C107" s="768" t="s">
        <v>671</v>
      </c>
      <c r="D107" s="682" t="s">
        <v>672</v>
      </c>
      <c r="E107" s="781">
        <v>0.3</v>
      </c>
      <c r="F107" s="768">
        <v>50</v>
      </c>
    </row>
    <row r="108" spans="1:6" s="764" customFormat="1" ht="36">
      <c r="A108" s="768">
        <v>48</v>
      </c>
      <c r="B108" s="354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1" t="s">
        <v>681</v>
      </c>
      <c r="C111" s="768" t="s">
        <v>682</v>
      </c>
      <c r="D111" s="682" t="s">
        <v>683</v>
      </c>
      <c r="E111" s="781">
        <v>0.2</v>
      </c>
      <c r="F111" s="768">
        <v>30</v>
      </c>
    </row>
    <row r="112" spans="1:6" s="764" customFormat="1" ht="24">
      <c r="A112" s="768">
        <v>52</v>
      </c>
      <c r="B112" s="3541"/>
      <c r="C112" s="768" t="s">
        <v>684</v>
      </c>
      <c r="D112" s="682" t="s">
        <v>685</v>
      </c>
      <c r="E112" s="781">
        <v>0.2</v>
      </c>
      <c r="F112" s="768">
        <v>30</v>
      </c>
    </row>
    <row r="113" spans="1:6" s="764" customFormat="1" ht="24">
      <c r="A113" s="768">
        <v>53</v>
      </c>
      <c r="B113" s="354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1" t="s">
        <v>694</v>
      </c>
      <c r="C116" s="768" t="s">
        <v>695</v>
      </c>
      <c r="D116" s="682" t="s">
        <v>696</v>
      </c>
      <c r="E116" s="781">
        <v>0.2</v>
      </c>
      <c r="F116" s="768">
        <v>30</v>
      </c>
    </row>
    <row r="117" spans="1:6" ht="36">
      <c r="A117" s="768">
        <v>57</v>
      </c>
      <c r="B117" s="354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47" t="s">
        <v>1020</v>
      </c>
      <c r="C1" s="3547"/>
      <c r="D1" s="3547"/>
      <c r="E1" s="3547"/>
      <c r="F1" s="3547"/>
      <c r="G1" s="3543" t="s">
        <v>1021</v>
      </c>
      <c r="H1" s="3543"/>
      <c r="I1" s="3543"/>
      <c r="J1" s="3543"/>
      <c r="K1" s="3543"/>
      <c r="L1" s="3543"/>
      <c r="N1" s="3543" t="s">
        <v>1022</v>
      </c>
      <c r="O1" s="3543"/>
      <c r="P1" s="3543"/>
      <c r="Q1" s="3543"/>
      <c r="S1" s="3543" t="s">
        <v>1023</v>
      </c>
      <c r="T1" s="3543"/>
      <c r="U1" s="3543"/>
      <c r="V1" s="3543"/>
      <c r="X1" s="3542" t="s">
        <v>1024</v>
      </c>
      <c r="Y1" s="3543"/>
      <c r="Z1" s="3543"/>
      <c r="AA1" s="3543"/>
      <c r="AB1" s="3543"/>
      <c r="AD1" s="3542" t="s">
        <v>1025</v>
      </c>
      <c r="AE1" s="3543"/>
      <c r="AF1" s="3543"/>
      <c r="AG1" s="3543"/>
      <c r="AH1" s="354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2895</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2746</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2743</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2741</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2738</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2732</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2733</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45">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45"/>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45"/>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52"/>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48">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45"/>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45"/>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52"/>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48">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45"/>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45"/>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46"/>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44">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45"/>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45"/>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46"/>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44">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45"/>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45"/>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46"/>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49">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50"/>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50"/>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51"/>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44">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45"/>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45"/>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46"/>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44">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45">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45">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46">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44">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45">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45">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46">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44">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45">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45">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46">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44">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45">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45">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46">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44">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45">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45">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46">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44">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45">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45">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46">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44">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45">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45">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46">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44">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45">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45">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46">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44">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45">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45">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46">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44">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45">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45">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46">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43964</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6" sqref="N2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2"/>
      <c r="C2" s="3172"/>
      <c r="D2" s="3172"/>
      <c r="E2" s="3172"/>
    </row>
    <row r="3" spans="1:5" ht="13.5" customHeight="1">
      <c r="A3" s="1362"/>
      <c r="B3" s="1362"/>
      <c r="C3" s="1362"/>
      <c r="D3" s="1362"/>
      <c r="E3" s="1362"/>
    </row>
    <row r="4" spans="1:5" ht="19.5" thickBot="1">
      <c r="A4" s="3173" t="str">
        <f>IF(项目基本情况!D5="房地产市场价值","估价结果一览表（市场价值不需本页表格)","估价结果一览表")</f>
        <v>估价结果一览表（市场价值不需本页表格)</v>
      </c>
      <c r="B4" s="3173"/>
      <c r="C4" s="3173"/>
      <c r="D4" s="3173"/>
      <c r="E4" s="3173"/>
    </row>
    <row r="5" spans="1:5" ht="14.25" customHeight="1" thickTop="1">
      <c r="A5" s="1359"/>
      <c r="B5" s="1363" t="s">
        <v>742</v>
      </c>
      <c r="C5" s="3174" t="s">
        <v>775</v>
      </c>
      <c r="D5" s="3175"/>
      <c r="E5" s="1359"/>
    </row>
    <row r="6" spans="1:5" ht="14.25">
      <c r="A6" s="1359"/>
      <c r="B6" s="1364" t="str">
        <f>项目基本情况!I1</f>
        <v>北京市房地产</v>
      </c>
      <c r="C6" s="3176">
        <f>项目基本情况!C12</f>
        <v>136.06</v>
      </c>
      <c r="D6" s="3176"/>
      <c r="E6" s="1359"/>
    </row>
    <row r="7" spans="1:5" ht="14.25">
      <c r="A7" s="1359"/>
      <c r="B7" s="3170" t="s">
        <v>776</v>
      </c>
      <c r="C7" s="1365" t="str">
        <f>IF('数据-取费表'!B3="万元","总价（万元）","总价（元）")</f>
        <v>总价（元）</v>
      </c>
      <c r="D7" s="1366">
        <f ca="1">IF('数据-取费表'!E3="否",结果表!I102,'结果表 (1修多)'!I104)</f>
        <v>4024247</v>
      </c>
      <c r="E7" s="1359"/>
    </row>
    <row r="8" spans="1:5" ht="28.5">
      <c r="A8" s="1359"/>
      <c r="B8" s="3170"/>
      <c r="C8" s="1367" t="s">
        <v>1162</v>
      </c>
      <c r="D8" s="1368" t="str">
        <f ca="1">IF('数据-取费表'!B3="万元",NUMBERSTRING(INT(D7*10000),2)&amp;"元整",NUMBERSTRING(INT(D7),2)&amp;"元整")</f>
        <v>肆佰零贰万肆仟贰佰肆拾柒元整</v>
      </c>
      <c r="E8" s="1359"/>
    </row>
    <row r="9" spans="1:5" ht="14.25">
      <c r="A9" s="1359"/>
      <c r="B9" s="3170"/>
      <c r="C9" s="1369" t="s">
        <v>1259</v>
      </c>
      <c r="D9" s="1366">
        <f ca="1">IF('数据-取费表'!E3="否",结果表!I103,'结果表 (1修多)'!I105)</f>
        <v>29577</v>
      </c>
      <c r="E9" s="1359"/>
    </row>
    <row r="10" spans="1:5" ht="14.25">
      <c r="A10" s="1359"/>
      <c r="B10" s="317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7" t="str">
        <f>IF('数据-取费表'!E3="否",结果表!F110,'结果表 (1修多)'!F112)</f>
        <v>3.房地产抵押价值</v>
      </c>
      <c r="C15" s="1360" t="str">
        <f>C7</f>
        <v>总价（元）</v>
      </c>
      <c r="D15" s="1366">
        <f ca="1">IF('数据-取费表'!E3="否",结果表!I110,'结果表 (1修多)'!I112)</f>
        <v>4024247</v>
      </c>
      <c r="E15" s="1359"/>
    </row>
    <row r="16" spans="1:5" ht="28.5">
      <c r="A16" s="1359"/>
      <c r="B16" s="3177"/>
      <c r="C16" s="1367" t="s">
        <v>1162</v>
      </c>
      <c r="D16" s="1366" t="str">
        <f ca="1">IF('数据-取费表'!B3="万元",NUMBERSTRING(INT(D15*10000),2)&amp;"元整",NUMBERSTRING(INT(D15),2)&amp;"元整")</f>
        <v>肆佰零贰万肆仟贰佰肆拾柒元整</v>
      </c>
      <c r="E16" s="1359"/>
    </row>
    <row r="17" spans="1:5" ht="14.25">
      <c r="A17" s="1359"/>
      <c r="B17" s="3177"/>
      <c r="C17" s="1369" t="s">
        <v>1259</v>
      </c>
      <c r="D17" s="1366">
        <f ca="1">IF('数据-取费表'!E3="否",结果表!I111,'结果表 (1修多)'!I113)</f>
        <v>29577</v>
      </c>
      <c r="E17" s="1359"/>
    </row>
    <row r="18" spans="1:5" ht="14.25">
      <c r="A18" s="1359"/>
      <c r="B18" s="3177" t="str">
        <f>IF('数据-取费表'!E3="否",结果表!F112,'结果表 (1修多)'!F114)</f>
        <v>——</v>
      </c>
      <c r="C18" s="1360" t="str">
        <f>C7</f>
        <v>总价（元）</v>
      </c>
      <c r="D18" s="1366" t="str">
        <f>IF('数据-取费表'!E3="否",结果表!I112,'结果表 (1修多)'!I114)</f>
        <v>——</v>
      </c>
      <c r="E18" s="1359"/>
    </row>
    <row r="19" spans="1:5" ht="14.25">
      <c r="A19" s="1359"/>
      <c r="B19" s="3177"/>
      <c r="C19" s="1367" t="s">
        <v>1162</v>
      </c>
      <c r="D19" s="1366" t="e">
        <f>IF('数据-取费表'!B3="万元",NUMBERSTRING(INT(D18*10000),2)&amp;"元整",NUMBERSTRING(INT(D18),2)&amp;"元整")</f>
        <v>#VALUE!</v>
      </c>
      <c r="E19" s="1359"/>
    </row>
    <row r="20" spans="1:5" ht="14.25">
      <c r="A20" s="1359"/>
      <c r="B20" s="3177"/>
      <c r="C20" s="1369" t="s">
        <v>1259</v>
      </c>
      <c r="D20" s="1366" t="str">
        <f>IF('数据-取费表'!E3="否",结果表!I113,'结果表 (1修多)'!I115)</f>
        <v>——</v>
      </c>
      <c r="E20" s="1359"/>
    </row>
    <row r="21" spans="1:5" ht="14.25">
      <c r="A21" s="1359"/>
      <c r="B21" s="3170" t="str">
        <f>IF('数据-取费表'!E3="否",结果表!F114,'结果表 (1修多)'!F116)</f>
        <v>——</v>
      </c>
      <c r="C21" s="1365" t="str">
        <f>C7</f>
        <v>总价（元）</v>
      </c>
      <c r="D21" s="1366" t="str">
        <f>IF('数据-取费表'!E3="否",结果表!I114,'结果表 (1修多)'!I116)</f>
        <v>——</v>
      </c>
      <c r="E21" s="1359"/>
    </row>
    <row r="22" spans="1:5" ht="14.25">
      <c r="A22" s="1359"/>
      <c r="B22" s="3170"/>
      <c r="C22" s="1367" t="s">
        <v>1162</v>
      </c>
      <c r="D22" s="1368" t="e">
        <f>IF('数据-取费表'!B3="万元",NUMBERSTRING(INT(D21*10000),2)&amp;"元整",NUMBERSTRING(INT(D21),2)&amp;"元整")</f>
        <v>#VALUE!</v>
      </c>
      <c r="E22" s="1359"/>
    </row>
    <row r="23" spans="1:5" ht="15" thickBot="1">
      <c r="A23" s="1359"/>
      <c r="B23" s="317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2" t="s">
        <v>1260</v>
      </c>
      <c r="C25" s="3162"/>
      <c r="D25" s="3162"/>
      <c r="E25" s="1359"/>
    </row>
    <row r="26" spans="1:5" ht="18.75" customHeight="1" thickTop="1">
      <c r="A26" s="1359"/>
      <c r="B26" s="3165" t="s">
        <v>1161</v>
      </c>
      <c r="C26" s="3166"/>
      <c r="D26" s="3163" t="s">
        <v>1160</v>
      </c>
      <c r="E26" s="1359"/>
    </row>
    <row r="27" spans="1:5" ht="18.75" customHeight="1">
      <c r="A27" s="1359"/>
      <c r="B27" s="3167"/>
      <c r="C27" s="3168"/>
      <c r="D27" s="3164"/>
      <c r="E27" s="1359"/>
    </row>
    <row r="28" spans="1:5" ht="14.25">
      <c r="A28" s="1359"/>
      <c r="B28" s="3155" t="s">
        <v>776</v>
      </c>
      <c r="C28" s="1376" t="s">
        <v>1163</v>
      </c>
      <c r="D28" s="1377">
        <f ca="1">IF('数据-取费表'!E3="否",结果表!I102,'结果表 (1修多)'!I104)</f>
        <v>4024247</v>
      </c>
      <c r="E28" s="1359"/>
    </row>
    <row r="29" spans="1:5" ht="28.5">
      <c r="A29" s="1359"/>
      <c r="B29" s="3156"/>
      <c r="C29" s="1378" t="s">
        <v>1162</v>
      </c>
      <c r="D29" s="1379" t="str">
        <f ca="1">IF('数据-取费表'!B3="万元",NUMBERSTRING(INT(D28*10000),2)&amp;"元整",NUMBERSTRING(INT(D28),2)&amp;"元整")</f>
        <v>肆佰零贰万肆仟贰佰肆拾柒元整</v>
      </c>
      <c r="E29" s="1359"/>
    </row>
    <row r="30" spans="1:5" ht="14.25">
      <c r="A30" s="1359"/>
      <c r="B30" s="3157"/>
      <c r="C30" s="1369" t="s">
        <v>1165</v>
      </c>
      <c r="D30" s="1380">
        <f ca="1">IF('数据-取费表'!E3="否",结果表!I103,'结果表 (1修多)'!I105)</f>
        <v>29577</v>
      </c>
      <c r="E30" s="1359"/>
    </row>
    <row r="31" spans="1:5" ht="14.25">
      <c r="A31" s="1359"/>
      <c r="B31" s="3160" t="str">
        <f>B10</f>
        <v>2.估价师所知悉的法定优先受偿款</v>
      </c>
      <c r="C31" s="1381" t="s">
        <v>1164</v>
      </c>
      <c r="D31" s="1382">
        <f>IF('数据-取费表'!E3="否",结果表!I105,'结果表 (1修多)'!I107)</f>
        <v>0</v>
      </c>
      <c r="E31" s="1359"/>
    </row>
    <row r="32" spans="1:5" ht="14.25">
      <c r="A32" s="1359"/>
      <c r="B32" s="316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58" t="str">
        <f>B15</f>
        <v>3.房地产抵押价值</v>
      </c>
      <c r="C36" s="1381" t="str">
        <f>C28</f>
        <v>总价</v>
      </c>
      <c r="D36" s="1382">
        <f ca="1">IF('数据-取费表'!E3="否",结果表!I110,'结果表 (1修多)'!I112)</f>
        <v>4024247</v>
      </c>
      <c r="E36" s="1359"/>
    </row>
    <row r="37" spans="1:5" ht="28.5">
      <c r="A37" s="1359"/>
      <c r="B37" s="3158"/>
      <c r="C37" s="1378" t="s">
        <v>1162</v>
      </c>
      <c r="D37" s="1383" t="str">
        <f ca="1">IF('数据-取费表'!B3="万元",NUMBERSTRING(INT(D36*10000),2)&amp;"元整",NUMBERSTRING(INT(D36),2)&amp;"元整")</f>
        <v>肆佰零贰万肆仟贰佰肆拾柒元整</v>
      </c>
      <c r="E37" s="1359"/>
    </row>
    <row r="38" spans="1:5" ht="14.25">
      <c r="A38" s="1359"/>
      <c r="B38" s="3158"/>
      <c r="C38" s="1369" t="s">
        <v>1166</v>
      </c>
      <c r="D38" s="1380">
        <f ca="1">IF('数据-取费表'!E3="否",结果表!D113,'结果表 (1修多)'!D117)</f>
        <v>29577</v>
      </c>
      <c r="E38" s="1359"/>
    </row>
    <row r="39" spans="1:5" ht="14.25">
      <c r="A39" s="1359"/>
      <c r="B39" s="3159" t="str">
        <f>B18</f>
        <v>——</v>
      </c>
      <c r="C39" s="1381" t="str">
        <f>C28</f>
        <v>总价</v>
      </c>
      <c r="D39" s="1382" t="str">
        <f>IF('数据-取费表'!E3="否",结果表!I112,'结果表 (1修多)'!I114)</f>
        <v>——</v>
      </c>
      <c r="E39" s="1359"/>
    </row>
    <row r="40" spans="1:5" ht="14.25">
      <c r="A40" s="1359"/>
      <c r="B40" s="3159"/>
      <c r="C40" s="1378" t="s">
        <v>1162</v>
      </c>
      <c r="D40" s="1383" t="e">
        <f>IF('数据-取费表'!B3="万元",NUMBERSTRING(INT(D39*10000),2)&amp;"元整",NUMBERSTRING(INT(D39),2)&amp;"元整")</f>
        <v>#VALUE!</v>
      </c>
      <c r="E40" s="1359"/>
    </row>
    <row r="41" spans="1:5" ht="14.25">
      <c r="A41" s="1359"/>
      <c r="B41" s="3159"/>
      <c r="C41" s="1369" t="s">
        <v>1166</v>
      </c>
      <c r="D41" s="1380" t="str">
        <f>IF('数据-取费表'!E3="否",结果表!D115,'结果表 (1修多)'!D119)</f>
        <v>——</v>
      </c>
      <c r="E41" s="1359"/>
    </row>
    <row r="42" spans="1:5" ht="14.25">
      <c r="A42" s="1359"/>
      <c r="B42" s="3158" t="str">
        <f>B21</f>
        <v>——</v>
      </c>
      <c r="C42" s="1381" t="str">
        <f>C28</f>
        <v>总价</v>
      </c>
      <c r="D42" s="1382" t="str">
        <f>IF('数据-取费表'!E3="否",结果表!I114,'结果表 (1修多)'!I116)</f>
        <v>——</v>
      </c>
      <c r="E42" s="1359"/>
    </row>
    <row r="43" spans="1:5" ht="14.25">
      <c r="A43" s="1359"/>
      <c r="B43" s="3160"/>
      <c r="C43" s="1378" t="s">
        <v>1162</v>
      </c>
      <c r="D43" s="1384" t="e">
        <f>IF('数据-取费表'!B3="万元",NUMBERSTRING(INT(D42*10000),2)&amp;"元整",NUMBERSTRING(INT(D42),2)&amp;"元整")</f>
        <v>#VALUE!</v>
      </c>
      <c r="E43" s="1359"/>
    </row>
    <row r="44" spans="1:5" ht="15" thickBot="1">
      <c r="A44" s="1359"/>
      <c r="B44" s="316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4" t="str">
        <f>IF(项目基本情况!D5="房地产市场价值","估价结果一览表","结果表-2")</f>
        <v>估价结果一览表</v>
      </c>
      <c r="B1" s="3184"/>
      <c r="C1" s="3184"/>
      <c r="D1" s="3184"/>
      <c r="E1" s="3184"/>
      <c r="F1" s="3184"/>
      <c r="G1" s="3184"/>
      <c r="H1" s="3184"/>
      <c r="I1" s="3184"/>
    </row>
    <row r="2" spans="1:9" ht="30" customHeight="1" thickTop="1">
      <c r="A2" s="3185" t="s">
        <v>1261</v>
      </c>
      <c r="B2" s="3185" t="s">
        <v>1262</v>
      </c>
      <c r="C2" s="3185" t="s">
        <v>1263</v>
      </c>
      <c r="D2" s="3185" t="str">
        <f>IF('数据-取费表'!E3="否",结果表!D119,'结果表 (1修多)'!D123)</f>
        <v>出让国有建设用地使用权价值</v>
      </c>
      <c r="E2" s="3185"/>
      <c r="F2" s="3185" t="s">
        <v>1264</v>
      </c>
      <c r="G2" s="3185"/>
      <c r="H2" s="3185" t="s">
        <v>1265</v>
      </c>
      <c r="I2" s="3185"/>
    </row>
    <row r="3" spans="1:9" ht="15">
      <c r="A3" s="3178"/>
      <c r="B3" s="3178"/>
      <c r="C3" s="3178"/>
      <c r="D3" s="818" t="s">
        <v>1266</v>
      </c>
      <c r="E3" s="818" t="s">
        <v>1267</v>
      </c>
      <c r="F3" s="818" t="s">
        <v>1266</v>
      </c>
      <c r="G3" s="818" t="s">
        <v>1268</v>
      </c>
      <c r="H3" s="818" t="s">
        <v>1266</v>
      </c>
      <c r="I3" s="818" t="s">
        <v>1268</v>
      </c>
    </row>
    <row r="4" spans="1:9" ht="46.5" customHeight="1">
      <c r="A4" s="818" t="str">
        <f>项目基本情况!I1</f>
        <v>北京市房地产</v>
      </c>
      <c r="B4" s="818">
        <f>结果表!B121</f>
        <v>136.06</v>
      </c>
      <c r="C4" s="818">
        <f>结果表!C121</f>
        <v>0</v>
      </c>
      <c r="D4" s="818">
        <f ca="1">IF('数据-取费表'!E3="否",结果表!D121,'结果表 (1修多)'!D125)</f>
        <v>4024247</v>
      </c>
      <c r="E4" s="818">
        <f ca="1">IF('数据-取费表'!E3="否",结果表!E121,'结果表 (1修多)'!E125)</f>
        <v>29577</v>
      </c>
      <c r="F4" s="818">
        <f ca="1">IF('数据-取费表'!E3="否",结果表!F121,'结果表 (1修多)'!F125)</f>
        <v>0</v>
      </c>
      <c r="G4" s="818">
        <f ca="1">IF('数据-取费表'!E3="否",结果表!G121,'结果表 (1修多)'!G125)</f>
        <v>0</v>
      </c>
      <c r="H4" s="818">
        <f ca="1">IF('数据-取费表'!E3="否",结果表!H121,'结果表 (1修多)'!H125)</f>
        <v>4024247</v>
      </c>
      <c r="I4" s="818">
        <f ca="1">IF('数据-取费表'!E3="否",结果表!I121,'结果表 (1修多)'!I125)</f>
        <v>29577</v>
      </c>
    </row>
    <row r="5" spans="1:9" ht="15">
      <c r="A5" s="3178" t="s">
        <v>1269</v>
      </c>
      <c r="B5" s="3178"/>
      <c r="C5" s="3178"/>
      <c r="D5" s="3179" t="str">
        <f ca="1">IF('数据-取费表'!E3="否",结果表!D122,'结果表 (1修多)'!D126)</f>
        <v>肆佰零贰万肆仟贰佰肆拾柒元整</v>
      </c>
      <c r="E5" s="3179"/>
      <c r="F5" s="3179" t="str">
        <f ca="1">IF('数据-取费表'!E3="否",结果表!F122,'结果表 (1修多)'!F126)</f>
        <v>零元整</v>
      </c>
      <c r="G5" s="3179"/>
      <c r="H5" s="3179" t="str">
        <f ca="1">IF('数据-取费表'!E3="否",结果表!H122,'结果表 (1修多)'!H126)</f>
        <v>肆佰零贰万肆仟贰佰肆拾柒元整</v>
      </c>
      <c r="I5" s="3179"/>
    </row>
    <row r="6" spans="1:9" ht="15.75">
      <c r="A6" s="3180" t="str">
        <f>IF('数据-取费表'!E3="否",结果表!A123,'结果表 (1修多)'!A127)</f>
        <v>——</v>
      </c>
      <c r="B6" s="3180"/>
      <c r="C6" s="3180"/>
      <c r="D6" s="3180">
        <f>IF('数据-取费表'!E3="否",结果表!D123,'结果表 (1修多)'!D127)</f>
        <v>0</v>
      </c>
      <c r="E6" s="3180"/>
      <c r="F6" s="3180"/>
      <c r="G6" s="3180"/>
      <c r="H6" s="3180"/>
      <c r="I6" s="3180"/>
    </row>
    <row r="7" spans="1:9" ht="15">
      <c r="A7" s="3178" t="s">
        <v>1269</v>
      </c>
      <c r="B7" s="3178"/>
      <c r="C7" s="3178"/>
      <c r="D7" s="3186">
        <f>IF('数据-取费表'!E3="否",结果表!D124,'结果表 (1修多)'!D128)</f>
        <v>0</v>
      </c>
      <c r="E7" s="3187"/>
      <c r="F7" s="3187"/>
      <c r="G7" s="3187"/>
      <c r="H7" s="3187"/>
      <c r="I7" s="3188"/>
    </row>
    <row r="8" spans="1:9" ht="15.75">
      <c r="A8" s="3180" t="str">
        <f>IF('数据-取费表'!E3="否",结果表!A125,'结果表 (1修多)'!A129)</f>
        <v>——</v>
      </c>
      <c r="B8" s="3180"/>
      <c r="C8" s="3180"/>
      <c r="D8" s="3180">
        <f ca="1">IF('数据-取费表'!E3="否",结果表!D125,'结果表 (1修多)'!D129)</f>
        <v>4024247</v>
      </c>
      <c r="E8" s="3180"/>
      <c r="F8" s="3180"/>
      <c r="G8" s="3180"/>
      <c r="H8" s="3180"/>
      <c r="I8" s="3180"/>
    </row>
    <row r="9" spans="1:9" ht="15">
      <c r="A9" s="3178" t="s">
        <v>1269</v>
      </c>
      <c r="B9" s="3178"/>
      <c r="C9" s="3178"/>
      <c r="D9" s="3179">
        <f ca="1">IF('数据-取费表'!E3="否",结果表!D126,'结果表 (1修多)'!D130)</f>
        <v>29577</v>
      </c>
      <c r="E9" s="3179"/>
      <c r="F9" s="3179"/>
      <c r="G9" s="3179"/>
      <c r="H9" s="3179"/>
      <c r="I9" s="3179"/>
    </row>
    <row r="10" spans="1:9" ht="15.75">
      <c r="A10" s="3180" t="str">
        <f>IF('数据-取费表'!E3="否",结果表!A127,'结果表 (1修多)'!A131)</f>
        <v>——</v>
      </c>
      <c r="B10" s="3180"/>
      <c r="C10" s="3180"/>
      <c r="D10" s="3180" t="str">
        <f>IF('数据-取费表'!E3="否",结果表!D127,'结果表 (1修多)'!D130)</f>
        <v>——</v>
      </c>
      <c r="E10" s="3180"/>
      <c r="F10" s="3180"/>
      <c r="G10" s="3180"/>
      <c r="H10" s="3180"/>
      <c r="I10" s="3180"/>
    </row>
    <row r="11" spans="1:9" ht="15">
      <c r="A11" s="3178" t="s">
        <v>1269</v>
      </c>
      <c r="B11" s="3178"/>
      <c r="C11" s="3178"/>
      <c r="D11" s="3179" t="str">
        <f>IF('数据-取费表'!E3="否",结果表!D128,'结果表 (1修多)'!D132)</f>
        <v>——</v>
      </c>
      <c r="E11" s="3179"/>
      <c r="F11" s="3179"/>
      <c r="G11" s="3179"/>
      <c r="H11" s="3179"/>
      <c r="I11" s="3179"/>
    </row>
    <row r="12" spans="1:9" ht="15.75">
      <c r="A12" s="3180" t="str">
        <f>IF('数据-取费表'!E3="否",结果表!A129,'结果表 (1修多)'!A133)</f>
        <v>——</v>
      </c>
      <c r="B12" s="3180"/>
      <c r="C12" s="3180"/>
      <c r="D12" s="3180" t="str">
        <f>IF('数据-取费表'!E3="否",结果表!D129,'结果表 (1修多)'!D133)</f>
        <v>——</v>
      </c>
      <c r="E12" s="3180"/>
      <c r="F12" s="3180"/>
      <c r="G12" s="3180"/>
      <c r="H12" s="3180"/>
      <c r="I12" s="3180"/>
    </row>
    <row r="13" spans="1:9" ht="15.75" thickBot="1">
      <c r="A13" s="3181" t="s">
        <v>1269</v>
      </c>
      <c r="B13" s="3181"/>
      <c r="C13" s="3181"/>
      <c r="D13" s="3182">
        <f>IF('数据-取费表'!E3="否",结果表!D130,'结果表 (1修多)'!D134)</f>
        <v>0</v>
      </c>
      <c r="E13" s="3182"/>
      <c r="F13" s="3182"/>
      <c r="G13" s="3182"/>
      <c r="H13" s="3182"/>
      <c r="I13" s="3182"/>
    </row>
    <row r="14" spans="1:9" ht="15" thickTop="1">
      <c r="A14" s="3183" t="str">
        <f>IF('数据-取费表'!E3="否",结果表!A131,'结果表 (1修多)'!A135)</f>
        <v>单位：平方米、元、元/平方米（币种：人民币）</v>
      </c>
      <c r="B14" s="3183"/>
      <c r="C14" s="3183"/>
      <c r="D14" s="3183"/>
      <c r="E14" s="3183"/>
      <c r="F14" s="3183"/>
      <c r="G14" s="3183"/>
      <c r="H14" s="3183"/>
      <c r="I14" s="318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0" t="s">
        <v>1282</v>
      </c>
      <c r="B1" s="3190"/>
      <c r="C1" s="3190"/>
      <c r="D1" s="3190"/>
    </row>
    <row r="2" spans="1:4" ht="18">
      <c r="A2" s="3189" t="s">
        <v>1271</v>
      </c>
      <c r="B2" s="3189"/>
      <c r="C2" s="3189"/>
      <c r="D2" s="3189"/>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89" t="s">
        <v>1276</v>
      </c>
      <c r="B7" s="3189"/>
      <c r="C7" s="3189"/>
      <c r="D7" s="318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1" t="s">
        <v>2747</v>
      </c>
      <c r="B12" s="3192"/>
      <c r="C12" s="3192"/>
      <c r="D12" s="3192"/>
    </row>
    <row r="13" spans="1:4" ht="15.75">
      <c r="A13" s="31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2"/>
      <c r="C13" s="3192"/>
      <c r="D13" s="3192"/>
    </row>
    <row r="14" spans="1:4" ht="30" customHeight="1">
      <c r="A14" s="3191" t="str">
        <f>IF(项目基本情况!D4="抵押","3.抵押双方在办理抵押登记手续时，应使用本公司出具的正式《不动产估价报告书》，特提醒报告使用者注意。","——")</f>
        <v>——</v>
      </c>
      <c r="B14" s="3192"/>
      <c r="C14" s="3192"/>
      <c r="D14" s="3192"/>
    </row>
    <row r="15" spans="1:4" ht="15.75" customHeight="1">
      <c r="A15" s="3191" t="str">
        <f>IF(项目基本情况!D4="抵押","4.本次评估估价师所知悉的法定优先受偿款情况说明如下：","——")</f>
        <v>——</v>
      </c>
      <c r="B15" s="3192"/>
      <c r="C15" s="3192"/>
      <c r="D15" s="3192"/>
    </row>
    <row r="16" spans="1:4" ht="75" customHeight="1">
      <c r="A16" s="3191" t="str">
        <f>IF(项目基本情况!D4="抵押",CONCATENATE(项目基本情况!J13,项目基本情况!J14,项目基本情况!J15),"——")</f>
        <v>——</v>
      </c>
      <c r="B16" s="3191"/>
      <c r="C16" s="3191"/>
      <c r="D16" s="3191"/>
    </row>
    <row r="17" spans="1:4" ht="63.75" customHeight="1">
      <c r="A17" s="3193" t="s">
        <v>1284</v>
      </c>
      <c r="B17" s="3193"/>
      <c r="C17" s="3193"/>
      <c r="D17" s="3193"/>
    </row>
    <row r="18" spans="1:4" ht="15.75" customHeight="1">
      <c r="A18" s="3191" t="str">
        <f>IF(项目基本情况!D4="抵押",结果表!L106,"——")</f>
        <v>——</v>
      </c>
      <c r="B18" s="3191"/>
      <c r="C18" s="3191"/>
      <c r="D18" s="3191"/>
    </row>
    <row r="19" spans="1:4" ht="46.5" customHeight="1">
      <c r="A19" s="31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15">
      <c r="A20" s="3193" t="s">
        <v>2748</v>
      </c>
      <c r="B20" s="3193"/>
      <c r="C20" s="3193"/>
      <c r="D20" s="319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199" t="s">
        <v>1363</v>
      </c>
      <c r="B15" s="3194" t="s">
        <v>1364</v>
      </c>
      <c r="C15" s="3195"/>
    </row>
    <row r="16" spans="1:7" ht="14.25">
      <c r="A16" s="3200"/>
      <c r="B16" s="3194" t="s">
        <v>1365</v>
      </c>
      <c r="C16" s="3195"/>
    </row>
    <row r="17" spans="1:3" ht="14.25">
      <c r="A17" s="3200"/>
      <c r="B17" s="3194" t="s">
        <v>1366</v>
      </c>
      <c r="C17" s="3195"/>
    </row>
    <row r="18" spans="1:3" ht="14.25">
      <c r="A18" s="3201"/>
      <c r="B18" s="3196" t="s">
        <v>1367</v>
      </c>
      <c r="C18" s="3195"/>
    </row>
    <row r="19" spans="1:3" ht="14.25">
      <c r="A19" s="1412" t="s">
        <v>1368</v>
      </c>
      <c r="B19" s="1413"/>
      <c r="C19" s="1414"/>
    </row>
    <row r="20" spans="1:3" ht="14.25">
      <c r="A20" s="3197" t="s">
        <v>1369</v>
      </c>
      <c r="B20" s="3196" t="s">
        <v>1370</v>
      </c>
      <c r="C20" s="3195"/>
    </row>
    <row r="21" spans="1:3" ht="14.25">
      <c r="A21" s="3197"/>
      <c r="B21" s="3196" t="s">
        <v>1371</v>
      </c>
      <c r="C21" s="3195"/>
    </row>
    <row r="22" spans="1:3" ht="14.25">
      <c r="A22" s="3197"/>
      <c r="B22" s="3196" t="s">
        <v>1372</v>
      </c>
      <c r="C22" s="3195"/>
    </row>
    <row r="23" spans="1:3" ht="14.25">
      <c r="A23" s="3197"/>
      <c r="B23" s="3198" t="s">
        <v>1373</v>
      </c>
      <c r="C23" s="1415" t="s">
        <v>1374</v>
      </c>
    </row>
    <row r="24" spans="1:3" ht="14.25">
      <c r="A24" s="3197"/>
      <c r="B24" s="3198"/>
      <c r="C24" s="1415" t="s">
        <v>1375</v>
      </c>
    </row>
    <row r="25" spans="1:3" ht="14.25">
      <c r="A25" s="3197"/>
      <c r="B25" s="3198"/>
      <c r="C25" s="1415" t="s">
        <v>1376</v>
      </c>
    </row>
    <row r="26" spans="1:3" ht="14.25">
      <c r="A26" s="3197"/>
      <c r="B26" s="3198"/>
      <c r="C26" s="1415" t="s">
        <v>1377</v>
      </c>
    </row>
    <row r="27" spans="1:3" ht="14.25">
      <c r="A27" s="3197"/>
      <c r="B27" s="3198"/>
      <c r="C27" s="1415" t="s">
        <v>1378</v>
      </c>
    </row>
    <row r="28" spans="1:3" ht="14.25">
      <c r="A28" s="3197"/>
      <c r="B28" s="3198"/>
      <c r="C28" s="1415" t="s">
        <v>1379</v>
      </c>
    </row>
    <row r="29" spans="1:3" ht="14.25">
      <c r="A29" s="3197"/>
      <c r="B29" s="3198"/>
      <c r="C29" s="1415" t="s">
        <v>1380</v>
      </c>
    </row>
    <row r="30" spans="1:3" ht="14.25">
      <c r="A30" s="3197"/>
      <c r="B30" s="3198"/>
      <c r="C30" s="1415" t="s">
        <v>1381</v>
      </c>
    </row>
    <row r="31" spans="1:3" ht="14.25">
      <c r="A31" s="3197"/>
      <c r="B31" s="319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44179</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2840</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2844</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02" t="s">
        <v>762</v>
      </c>
      <c r="B17" s="3202"/>
      <c r="C17" s="3202"/>
      <c r="D17" s="3202"/>
      <c r="E17" s="3202"/>
      <c r="F17" s="3202"/>
      <c r="G17" s="3202"/>
      <c r="H17" s="3202"/>
    </row>
    <row r="18" spans="1:8" ht="24" customHeight="1">
      <c r="A18" s="3203" t="s">
        <v>763</v>
      </c>
      <c r="B18" s="3203"/>
      <c r="C18" s="3203"/>
      <c r="D18" s="3072"/>
      <c r="E18" s="3204" t="s">
        <v>764</v>
      </c>
      <c r="F18" s="3203"/>
      <c r="G18" s="3203"/>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2841</v>
      </c>
      <c r="B20" s="3079" t="s">
        <v>2842</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本次估价的“房地产价值”是指在正常市场情况下，在价值时点2020年5月13日，估价对象规划用途为，假定未设立法定优先受偿款下的房地产市场价值。</v>
      </c>
    </row>
    <row r="54" spans="1:4">
      <c r="A54" s="3205"/>
      <c r="B54" s="9" t="s">
        <v>1519</v>
      </c>
      <c r="C54" s="9" t="s">
        <v>1520</v>
      </c>
    </row>
    <row r="55" spans="1:4">
      <c r="A55" s="3205"/>
      <c r="B55" s="9" t="s">
        <v>1521</v>
      </c>
      <c r="C55" s="9" t="s">
        <v>1522</v>
      </c>
    </row>
    <row r="56" spans="1:4">
      <c r="A56" s="3205"/>
      <c r="B56" s="9" t="s">
        <v>1523</v>
      </c>
      <c r="C56" s="9" t="s">
        <v>1524</v>
      </c>
    </row>
    <row r="57" spans="1:4">
      <c r="A57" s="320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2020-12-14T02:22:04Z</dcterms:modified>
</cp:coreProperties>
</file>